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7.xml" ContentType="application/vnd.openxmlformats-officedocument.drawing+xml"/>
  <Override PartName="/xl/drawings/drawing8.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drawings/drawing11.xml" ContentType="application/vnd.openxmlformats-officedocument.drawing+xml"/>
  <Override PartName="/xl/drawings/drawing12.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isa1\isa_VP_FinanzasCorporativas\ISA_RelaciónInversionistas\13. Kit Valoración\KIt Español\"/>
    </mc:Choice>
  </mc:AlternateContent>
  <xr:revisionPtr revIDLastSave="0" documentId="13_ncr:1_{AF8C73E1-3B96-494F-AC53-257343A47AB8}" xr6:coauthVersionLast="45" xr6:coauthVersionMax="47" xr10:uidLastSave="{00000000-0000-0000-0000-000000000000}"/>
  <bookViews>
    <workbookView xWindow="-110" yWindow="-110" windowWidth="19420" windowHeight="10420" tabRatio="599" firstSheet="11" activeTab="17" xr2:uid="{CAD2F94A-8E0C-4455-81A9-A4E1DCCE032F}"/>
  </bookViews>
  <sheets>
    <sheet name="Contenido" sheetId="1" r:id="rId1"/>
    <sheet name="EEFF_Consolidados" sheetId="2" r:id="rId2"/>
    <sheet name="EEFF_TE_Col" sheetId="22" r:id="rId3"/>
    <sheet name="EEFF_TE_Bra" sheetId="4" r:id="rId4"/>
    <sheet name="Flujo RBSE" sheetId="19" r:id="rId5"/>
    <sheet name="EEFF_TE_Per" sheetId="21" r:id="rId6"/>
    <sheet name="EEFF_TE_Chi" sheetId="7" r:id="rId7"/>
    <sheet name="EEFF_Vías_Col" sheetId="31" r:id="rId8"/>
    <sheet name="EEFF_Vías_Chi" sheetId="6" r:id="rId9"/>
    <sheet name="Deuda consolidada créditos" sheetId="33" r:id="rId10"/>
    <sheet name="Deuda consolidada bonos" sheetId="32" r:id="rId11"/>
    <sheet name="Perfil deuda" sheetId="38" r:id="rId12"/>
    <sheet name="CAPEX" sheetId="8" r:id="rId13"/>
    <sheet name="Regulación TE" sheetId="9" r:id="rId14"/>
    <sheet name="Regulación vías" sheetId="24" r:id="rId15"/>
    <sheet name="Tráfico vías" sheetId="37" r:id="rId16"/>
    <sheet name="Dividendos" sheetId="16" r:id="rId17"/>
    <sheet name="Proyectos" sheetId="23" r:id="rId18"/>
    <sheet name="Vencimiento Concesiones" sheetId="35" r:id="rId19"/>
    <sheet name="Participación en compañías" sheetId="36"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0" localSheetId="10">#REF!</definedName>
    <definedName name="\0" localSheetId="9">#REF!</definedName>
    <definedName name="\0" localSheetId="2">#REF!</definedName>
    <definedName name="\0" localSheetId="5">#REF!</definedName>
    <definedName name="\0" localSheetId="14">#REF!</definedName>
    <definedName name="\0">#REF!</definedName>
    <definedName name="\a" localSheetId="2">#REF!</definedName>
    <definedName name="\a" localSheetId="5">#REF!</definedName>
    <definedName name="\a" localSheetId="14">#REF!</definedName>
    <definedName name="\a">#REF!</definedName>
    <definedName name="\b" localSheetId="2">#REF!</definedName>
    <definedName name="\b" localSheetId="14">#REF!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 localSheetId="2">[1]Lista!#REF!</definedName>
    <definedName name="___CHF1">[2]Lista!#REF!</definedName>
    <definedName name="___DAT14" localSheetId="10">#REF!</definedName>
    <definedName name="___DAT14" localSheetId="9">#REF!</definedName>
    <definedName name="___DAT14" localSheetId="14">#REF!</definedName>
    <definedName name="___DAT14">#REF!</definedName>
    <definedName name="___DAT17" localSheetId="14">#REF!</definedName>
    <definedName name="___DAT17">#REF!</definedName>
    <definedName name="___DAT18" localSheetId="14">#REF!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[3]Lista!#REF!</definedName>
    <definedName name="__DAT1" localSheetId="10">#REF!</definedName>
    <definedName name="__DAT1" localSheetId="9">#REF!</definedName>
    <definedName name="__DAT1" localSheetId="14">#REF!</definedName>
    <definedName name="__DAT1">#REF!</definedName>
    <definedName name="__DAT10" localSheetId="14">#REF!</definedName>
    <definedName name="__DAT10">#REF!</definedName>
    <definedName name="__DAT11" localSheetId="14">#REF!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 localSheetId="2">[1]Lista!#REF!</definedName>
    <definedName name="_CHF1">[2]Lista!#REF!</definedName>
    <definedName name="_DAT1" localSheetId="10">#REF!</definedName>
    <definedName name="_DAT1" localSheetId="9">#REF!</definedName>
    <definedName name="_DAT1" localSheetId="14">#REF!</definedName>
    <definedName name="_DAT1">#REF!</definedName>
    <definedName name="_DAT10" localSheetId="14">#REF!</definedName>
    <definedName name="_DAT10">#REF!</definedName>
    <definedName name="_DAT11" localSheetId="14">#REF!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17" hidden="1">Proyectos!$B$8:$F$57</definedName>
    <definedName name="_HOJ66" localSheetId="10">#REF!</definedName>
    <definedName name="_HOJ66" localSheetId="9">#REF!</definedName>
    <definedName name="_HOJ66" localSheetId="2">#REF!</definedName>
    <definedName name="_HOJ66" localSheetId="5">#REF!</definedName>
    <definedName name="_HOJ66" localSheetId="14">#REF!</definedName>
    <definedName name="_HOJ66">#REF!</definedName>
    <definedName name="_HOJ88" localSheetId="5">#REF!</definedName>
    <definedName name="_HOJ88">#REF!</definedName>
    <definedName name="_md1" localSheetId="5">#REF!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 localSheetId="10">#REF!</definedName>
    <definedName name="A" localSheetId="9">#REF!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[4]Gráficas!$A$43:$G$49</definedName>
    <definedName name="ACORDO">'[5]Dados de Ouvidoria'!$D$68:$P$79</definedName>
    <definedName name="Acres_Decresc_05">'[6]2º 3º pedidos'!$D$70:$P$76</definedName>
    <definedName name="Acresc_Decres">'[6]2º 3º pedidos'!$D$42:$P$48</definedName>
    <definedName name="activosreserva" localSheetId="10">#REF!</definedName>
    <definedName name="activosreserva" localSheetId="9">#REF!</definedName>
    <definedName name="activosreserva" localSheetId="2">#REF!</definedName>
    <definedName name="activosreserva" localSheetId="5">#REF!</definedName>
    <definedName name="activosreserva" localSheetId="14">#REF!</definedName>
    <definedName name="activosreserva">#REF!</definedName>
    <definedName name="Activostele" localSheetId="2">#REF!</definedName>
    <definedName name="Activostele" localSheetId="5">#REF!</definedName>
    <definedName name="Activostele" localSheetId="14">#REF!</definedName>
    <definedName name="Activostele">#REF!</definedName>
    <definedName name="Adicionada">'[6]Dados Perdas RAA'!$A$19:$N$25</definedName>
    <definedName name="Adicionada_Meta">'[6]Dados Perdas RAA'!$A$76:$N$82</definedName>
    <definedName name="ADTIVA" localSheetId="10">#REF!</definedName>
    <definedName name="ADTIVA" localSheetId="9">#REF!</definedName>
    <definedName name="ADTIVA" localSheetId="2">#REF!</definedName>
    <definedName name="ADTIVA" localSheetId="5">#REF!</definedName>
    <definedName name="ADTIVA" localSheetId="14">#REF!</definedName>
    <definedName name="ADTIVA">#REF!</definedName>
    <definedName name="AE" localSheetId="2">#REF!</definedName>
    <definedName name="AE" localSheetId="5">#REF!</definedName>
    <definedName name="AE" localSheetId="14">#REF!</definedName>
    <definedName name="AE">#REF!</definedName>
    <definedName name="AJUSTE" localSheetId="2">#REF!</definedName>
    <definedName name="AJUSTE" localSheetId="5">#REF!</definedName>
    <definedName name="AJUSTE" localSheetId="14">#REF!</definedName>
    <definedName name="AJUSTE">#REF!</definedName>
    <definedName name="ANE">[7]ELEGIR!$D$8</definedName>
    <definedName name="Ano_Vigente">[8]Tabela!$B$12</definedName>
    <definedName name="ANOUNO" localSheetId="10">#REF!</definedName>
    <definedName name="ANOUNO" localSheetId="9">#REF!</definedName>
    <definedName name="ANOUNO" localSheetId="2">#REF!</definedName>
    <definedName name="ANOUNO" localSheetId="5">#REF!</definedName>
    <definedName name="ANOUNO" localSheetId="14">#REF!</definedName>
    <definedName name="ANOUNO">#REF!</definedName>
    <definedName name="AOM_STE">'[4]aom reg'!$U$29:$AG$46</definedName>
    <definedName name="AOMC">[7]ELEGIR!$D$6</definedName>
    <definedName name="AOMI">[7]ELEGIR!$D$5</definedName>
    <definedName name="AP" localSheetId="10">#REF!</definedName>
    <definedName name="AP" localSheetId="9">#REF!</definedName>
    <definedName name="AP" localSheetId="2">#REF!</definedName>
    <definedName name="AP" localSheetId="5">#REF!</definedName>
    <definedName name="AP" localSheetId="14">#REF!</definedName>
    <definedName name="AP">#REF!</definedName>
    <definedName name="Aportes_Previsión_Social____Médicos" localSheetId="2">#REF!</definedName>
    <definedName name="Aportes_Previsión_Social____Médicos" localSheetId="5">#REF!</definedName>
    <definedName name="Aportes_Previsión_Social____Médicos" localSheetId="14">#REF!</definedName>
    <definedName name="Aportes_Previsión_Social____Médicos">#REF!</definedName>
    <definedName name="APOYO" localSheetId="2">#REF!</definedName>
    <definedName name="APOYO" localSheetId="5">#REF!</definedName>
    <definedName name="APOYO" localSheetId="14">#REF!</definedName>
    <definedName name="APOYO">#REF!</definedName>
    <definedName name="ARCH">#REF!</definedName>
    <definedName name="_xlnm.Extract">#REF!</definedName>
    <definedName name="ARREC">[5]Dados_Perdas!$C$3:$O$14</definedName>
    <definedName name="Arrecadacao">'[6]Dados Perdas RAA'!$A$29:$N$35</definedName>
    <definedName name="Arrecadacao_Meta">'[6]Dados Perdas RAA'!$A$98:$N$104</definedName>
    <definedName name="AUDIENCIA">'[5]Dados de Ouvidoria'!$D$54:$P$65</definedName>
    <definedName name="AUTO" localSheetId="10">#REF!</definedName>
    <definedName name="AUTO" localSheetId="9">#REF!</definedName>
    <definedName name="AUTO" localSheetId="2">#REF!</definedName>
    <definedName name="AUTO" localSheetId="5">#REF!</definedName>
    <definedName name="AUTO" localSheetId="14">#REF!</definedName>
    <definedName name="AUTO">#REF!</definedName>
    <definedName name="AY" localSheetId="2">#REF!</definedName>
    <definedName name="AY" localSheetId="5">#REF!</definedName>
    <definedName name="AY" localSheetId="14">#REF!</definedName>
    <definedName name="AY">#REF!</definedName>
    <definedName name="b" localSheetId="2">#REF!</definedName>
    <definedName name="b" localSheetId="5">#REF!</definedName>
    <definedName name="b" localSheetId="14">#REF!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[9]BALANCE!$A$1:$G$19</definedName>
    <definedName name="_xlnm.Database" localSheetId="10">#REF!</definedName>
    <definedName name="_xlnm.Database" localSheetId="9">#REF!</definedName>
    <definedName name="_xlnm.Database" localSheetId="2">#REF!</definedName>
    <definedName name="_xlnm.Database" localSheetId="5">#REF!</definedName>
    <definedName name="_xlnm.Database" localSheetId="14">#REF!</definedName>
    <definedName name="_xlnm.Database">#REF!</definedName>
    <definedName name="BASIS_EUR">'[10]#¡REF'!$C$52:$D$58</definedName>
    <definedName name="BASIS_JPY">'[10]#¡REF'!$E$52:$F$58</definedName>
    <definedName name="BC" localSheetId="10">#REF!</definedName>
    <definedName name="BC" localSheetId="9">#REF!</definedName>
    <definedName name="BC" localSheetId="2">#REF!</definedName>
    <definedName name="BC" localSheetId="5">#REF!</definedName>
    <definedName name="BC" localSheetId="14">#REF!</definedName>
    <definedName name="BC">#REF!</definedName>
    <definedName name="BD_Ref_Titulos">'[11]BD_REFATURAMENTO_GRUPO-B'!$D$1:$G$1</definedName>
    <definedName name="BD_Ref_Titulos_">'[11]BD_REFATURAMENTO_GRUPO-B'!$D$1:$K$1</definedName>
    <definedName name="BD_REF_TODO">'[11]BD_REFATURAMENTO_GRUPO-B'!$D$1:$K$161</definedName>
    <definedName name="BDI" localSheetId="10">#REF!</definedName>
    <definedName name="BDI" localSheetId="9">#REF!</definedName>
    <definedName name="BDI" localSheetId="2">#REF!</definedName>
    <definedName name="BDI" localSheetId="5">#REF!</definedName>
    <definedName name="BDI" localSheetId="14">#REF!</definedName>
    <definedName name="BDI">#REF!</definedName>
    <definedName name="BDI_IREG">'[6]Dados Inadimplência'!$C$55:$P$61</definedName>
    <definedName name="BDI_METAS">'[6]Dados Inadimplência'!$C$35:$P$41</definedName>
    <definedName name="BDI_REG">'[6]Dados Inadimplência'!$C$46:$P$52</definedName>
    <definedName name="BID__Veces">'[12]#¡REF'!$B$37</definedName>
    <definedName name="Bonificación_por_servicios_prestados" localSheetId="10">#REF!</definedName>
    <definedName name="Bonificación_por_servicios_prestados" localSheetId="9">#REF!</definedName>
    <definedName name="Bonificación_por_servicios_prestados" localSheetId="2">#REF!</definedName>
    <definedName name="Bonificación_por_servicios_prestados" localSheetId="5">#REF!</definedName>
    <definedName name="Bonificación_por_servicios_prestados" localSheetId="14">#REF!</definedName>
    <definedName name="Bonificación_por_servicios_prestados">#REF!</definedName>
    <definedName name="BPRUEBA" localSheetId="2">#REF!</definedName>
    <definedName name="BPRUEBA" localSheetId="5">#REF!</definedName>
    <definedName name="BPRUEBA" localSheetId="14">#REF!</definedName>
    <definedName name="BPRUEBA">#REF!</definedName>
    <definedName name="BuiltIn_Print_Area">#N/A</definedName>
    <definedName name="BuiltIn_Print_Area___0___0" localSheetId="10">#REF!</definedName>
    <definedName name="BuiltIn_Print_Area___0___0" localSheetId="9">#REF!</definedName>
    <definedName name="BuiltIn_Print_Area___0___0" localSheetId="2">#REF!</definedName>
    <definedName name="BuiltIn_Print_Area___0___0" localSheetId="5">#REF!</definedName>
    <definedName name="BuiltIn_Print_Area___0___0" localSheetId="14">#REF!</definedName>
    <definedName name="BuiltIn_Print_Area___0___0">#REF!</definedName>
    <definedName name="C.M.">'[12]#¡REF'!$B$27</definedName>
    <definedName name="C_" localSheetId="10">#REF!</definedName>
    <definedName name="C_" localSheetId="9">#REF!</definedName>
    <definedName name="C_" localSheetId="2">#REF!</definedName>
    <definedName name="C_" localSheetId="5">#REF!</definedName>
    <definedName name="C_" localSheetId="14">#REF!</definedName>
    <definedName name="C_">#REF!</definedName>
    <definedName name="CAJA" localSheetId="2">#REF!</definedName>
    <definedName name="CAJA" localSheetId="5">#REF!</definedName>
    <definedName name="CAJA" localSheetId="14">#REF!</definedName>
    <definedName name="CAJA">#REF!</definedName>
    <definedName name="cajainver" localSheetId="2">'[13]BASES GENERALES'!#REF!</definedName>
    <definedName name="cajainver" localSheetId="5">'[13]BASES GENERALES'!#REF!</definedName>
    <definedName name="cajainver" localSheetId="14">'[13]BASES GENERALES'!#REF!</definedName>
    <definedName name="cajainver">'[13]BASES GENERALES'!#REF!</definedName>
    <definedName name="CALCULAR" localSheetId="10">#REF!</definedName>
    <definedName name="CALCULAR" localSheetId="9">#REF!</definedName>
    <definedName name="CALCULAR" localSheetId="2">#REF!</definedName>
    <definedName name="CALCULAR" localSheetId="5">#REF!</definedName>
    <definedName name="CALCULAR" localSheetId="14">#REF!</definedName>
    <definedName name="CALCULAR">#REF!</definedName>
    <definedName name="calculo_dividendos">[4]Dividendos!$G$32</definedName>
    <definedName name="cambiar" localSheetId="10">#REF!</definedName>
    <definedName name="cambiar" localSheetId="9">#REF!</definedName>
    <definedName name="cambiar" localSheetId="2">#REF!</definedName>
    <definedName name="cambiar" localSheetId="5">#REF!</definedName>
    <definedName name="cambiar" localSheetId="14">#REF!</definedName>
    <definedName name="cambiar">#REF!</definedName>
    <definedName name="CAPITAL_MESES">[6]Capitalização!$F$41:$AC$49</definedName>
    <definedName name="CARACTERISTICAS" localSheetId="10">#REF!</definedName>
    <definedName name="CARACTERISTICAS" localSheetId="9">#REF!</definedName>
    <definedName name="CARACTERISTICAS" localSheetId="2">#REF!</definedName>
    <definedName name="CARACTERISTICAS" localSheetId="5">#REF!</definedName>
    <definedName name="CARACTERISTICAS" localSheetId="14">#REF!</definedName>
    <definedName name="CARACTERISTICAS">#REF!</definedName>
    <definedName name="causinver" localSheetId="10">'[13]BASES GENERALES'!#REF!</definedName>
    <definedName name="causinver" localSheetId="9">'[13]BASES GENERALES'!#REF!</definedName>
    <definedName name="causinver" localSheetId="2">'[13]BASES GENERALES'!#REF!</definedName>
    <definedName name="causinver" localSheetId="14">'[13]BASES GENERALES'!#REF!</definedName>
    <definedName name="causinver">'[13]BASES GENERALES'!#REF!</definedName>
    <definedName name="ccioespecial" localSheetId="10">#REF!</definedName>
    <definedName name="ccioespecial" localSheetId="9">#REF!</definedName>
    <definedName name="ccioespecial" localSheetId="2">#REF!</definedName>
    <definedName name="ccioespecial" localSheetId="5">#REF!</definedName>
    <definedName name="ccioespecial" localSheetId="14">#REF!</definedName>
    <definedName name="ccioespecial">#REF!</definedName>
    <definedName name="CDEC">'[5]Dados DEC e FEC'!$CI$6:$CT$69</definedName>
    <definedName name="CECOS">'[10]#¡REF'!$C$2:$K$90</definedName>
    <definedName name="CFEC">'[5]Dados DEC e FEC'!$CI$80:$CT$143</definedName>
    <definedName name="CFJDHFD" localSheetId="10" hidden="1">{"'EST.RDOS(INT)'!$A$5:$E$58"}</definedName>
    <definedName name="CFJDHFD" localSheetId="9" hidden="1">{"'EST.RDOS(INT)'!$A$5:$E$58"}</definedName>
    <definedName name="CFJDHFD" localSheetId="2" hidden="1">{"'EST.RDOS(INT)'!$A$5:$E$58"}</definedName>
    <definedName name="CFJDHFD" localSheetId="5" hidden="1">{"'EST.RDOS(INT)'!$A$5:$E$58"}</definedName>
    <definedName name="CFJDHFD" localSheetId="14" hidden="1">{"'EST.RDOS(INT)'!$A$5:$E$58"}</definedName>
    <definedName name="CFJDHFD" hidden="1">{"'EST.RDOS(INT)'!$A$5:$E$58"}</definedName>
    <definedName name="CHF">[3]Lista!#REF!</definedName>
    <definedName name="CINT" localSheetId="10">#REF!</definedName>
    <definedName name="CINT" localSheetId="9">#REF!</definedName>
    <definedName name="CINT" localSheetId="14">#REF!</definedName>
    <definedName name="CINT">#REF!</definedName>
    <definedName name="CLASSIF_DEP" localSheetId="14">#REF!</definedName>
    <definedName name="CLASSIF_DEP">#REF!</definedName>
    <definedName name="CLASSIFICAÇÃO" localSheetId="14">[14]ANALITICO!#REF!</definedName>
    <definedName name="CLASSIFICAÇÃO">[14]ANALITICO!#REF!</definedName>
    <definedName name="CLAUSULA" localSheetId="10">#REF!</definedName>
    <definedName name="CLAUSULA" localSheetId="9">#REF!</definedName>
    <definedName name="CLAUSULA" localSheetId="2">#REF!</definedName>
    <definedName name="CLAUSULA" localSheetId="5">#REF!</definedName>
    <definedName name="CLAUSULA" localSheetId="14">#REF!</definedName>
    <definedName name="CLAUSULA">#REF!</definedName>
    <definedName name="CLEAN">'[6]Dados Inadimplência'!$D$64:$P$70</definedName>
    <definedName name="CLI3E4">[5]Dados_Perdas!$C$79:$O$90</definedName>
    <definedName name="CLIINF">[5]Dados_Perdas!$C$94:$O$105</definedName>
    <definedName name="CMUST">'[5]Dados Must'!$O$4:$R$22</definedName>
    <definedName name="CNCLIENTES">'[6]Dados ISO 9001'!$C$35:$D$41</definedName>
    <definedName name="CND" localSheetId="10">#REF!</definedName>
    <definedName name="CND" localSheetId="9">#REF!</definedName>
    <definedName name="CND" localSheetId="2">#REF!</definedName>
    <definedName name="CND" localSheetId="5">#REF!</definedName>
    <definedName name="CND" localSheetId="14">#REF!</definedName>
    <definedName name="CND">#REF!</definedName>
    <definedName name="COBERTURA_INVERSION">'[12]#¡REF'!$B$36</definedName>
    <definedName name="cobertura_serv">'[15]graf indi'!$J$31</definedName>
    <definedName name="COBERTURA_SERVICIO_DEUDA">'[12]#¡REF'!$B$35</definedName>
    <definedName name="codigos_válidos" localSheetId="10">#REF!</definedName>
    <definedName name="codigos_válidos" localSheetId="9">#REF!</definedName>
    <definedName name="codigos_válidos" localSheetId="2">#REF!</definedName>
    <definedName name="codigos_válidos" localSheetId="5">#REF!</definedName>
    <definedName name="codigos_válidos" localSheetId="14">#REF!</definedName>
    <definedName name="codigos_válidos">#REF!</definedName>
    <definedName name="Concepto_por_Gerencia" localSheetId="2">#REF!</definedName>
    <definedName name="Concepto_por_Gerencia" localSheetId="5">#REF!</definedName>
    <definedName name="Concepto_por_Gerencia" localSheetId="14">#REF!</definedName>
    <definedName name="Concepto_por_Gerencia">#REF!</definedName>
    <definedName name="condiciones_nuevas_finan">'[4]Flujo año 00-01-02'!$K$63</definedName>
    <definedName name="CONEX" localSheetId="10">#REF!</definedName>
    <definedName name="CONEX" localSheetId="9">#REF!</definedName>
    <definedName name="CONEX" localSheetId="2">#REF!</definedName>
    <definedName name="CONEX" localSheetId="5">#REF!</definedName>
    <definedName name="CONEX" localSheetId="14">#REF!</definedName>
    <definedName name="CONEX">#REF!</definedName>
    <definedName name="conex_ingresos">'[4]PyG Año 00-01-02'!$A$103:$I$116</definedName>
    <definedName name="conexascnd">'[4]PyG Año 00-01-02'!$A$376:$H$382</definedName>
    <definedName name="conexos_gastos">'[4]PyG Año 00-01-02'!$A$126:$H$139</definedName>
    <definedName name="consolidado" localSheetId="10">#REF!</definedName>
    <definedName name="consolidado" localSheetId="9">#REF!</definedName>
    <definedName name="consolidado" localSheetId="2">#REF!</definedName>
    <definedName name="consolidado" localSheetId="5">#REF!</definedName>
    <definedName name="consolidado" localSheetId="14">#REF!</definedName>
    <definedName name="consolidado">#REF!</definedName>
    <definedName name="CONSUMO_ESTRATO_3" localSheetId="2">#REF!</definedName>
    <definedName name="CONSUMO_ESTRATO_3" localSheetId="5">#REF!</definedName>
    <definedName name="CONSUMO_ESTRATO_3" localSheetId="14">#REF!</definedName>
    <definedName name="CONSUMO_ESTRATO_3">#REF!</definedName>
    <definedName name="CONT_AC">'[6]Dados Segurança'!$B$74:$I$78</definedName>
    <definedName name="CONT_LM">'[6]Dados Segurança'!$B$67:$I$71</definedName>
    <definedName name="CONTRIBUCION_AL_PLAN_DE_INVERSIONES">'[12]#¡REF'!$B$41</definedName>
    <definedName name="CONTRIBUCIONES_IMPUESTOS" localSheetId="10">#REF!</definedName>
    <definedName name="CONTRIBUCIONES_IMPUESTOS" localSheetId="9">#REF!</definedName>
    <definedName name="CONTRIBUCIONES_IMPUESTOS" localSheetId="2">#REF!</definedName>
    <definedName name="CONTRIBUCIONES_IMPUESTOS" localSheetId="5">#REF!</definedName>
    <definedName name="CONTRIBUCIONES_IMPUESTOS" localSheetId="14">#REF!</definedName>
    <definedName name="CONTRIBUCIONES_IMPUESTOS">#REF!</definedName>
    <definedName name="CORT3E4">[5]Dados_Perdas!$C$49:$O$60</definedName>
    <definedName name="Costo_Ventas">'[12]#¡REF'!$B$16</definedName>
    <definedName name="CPGERAL07" localSheetId="10">#REF!</definedName>
    <definedName name="CPGERAL07" localSheetId="9">#REF!</definedName>
    <definedName name="CPGERAL07" localSheetId="2">#REF!</definedName>
    <definedName name="CPGERAL07" localSheetId="5">#REF!</definedName>
    <definedName name="CPGERAL07" localSheetId="14">#REF!</definedName>
    <definedName name="CPGERAL07">#REF!</definedName>
    <definedName name="CPOPER07" localSheetId="2">#REF!</definedName>
    <definedName name="CPOPER07" localSheetId="5">#REF!</definedName>
    <definedName name="CPOPER07" localSheetId="14">#REF!</definedName>
    <definedName name="CPOPER07">#REF!</definedName>
    <definedName name="CPPERD07" localSheetId="2">#REF!</definedName>
    <definedName name="CPPERD07" localSheetId="5">#REF!</definedName>
    <definedName name="CPPERD07" localSheetId="14">#REF!</definedName>
    <definedName name="CPPERD07">#REF!</definedName>
    <definedName name="CPRJ">'[6]Dados ISO 9001'!$C$24:$D$30</definedName>
    <definedName name="CPSUB07" localSheetId="10">#REF!</definedName>
    <definedName name="CPSUB07" localSheetId="9">#REF!</definedName>
    <definedName name="CPSUB07" localSheetId="2">#REF!</definedName>
    <definedName name="CPSUB07" localSheetId="5">#REF!</definedName>
    <definedName name="CPSUB07" localSheetId="14">#REF!</definedName>
    <definedName name="CPSUB07">#REF!</definedName>
    <definedName name="CPUNDER07" localSheetId="2">#REF!</definedName>
    <definedName name="CPUNDER07" localSheetId="5">#REF!</definedName>
    <definedName name="CPUNDER07" localSheetId="14">#REF!</definedName>
    <definedName name="CPUNDER07">#REF!</definedName>
    <definedName name="Criteria_MI" localSheetId="2">#REF!</definedName>
    <definedName name="Criteria_MI" localSheetId="5">#REF!</definedName>
    <definedName name="Criteria_MI" localSheetId="14">#REF!</definedName>
    <definedName name="Criteria_MI">#REF!</definedName>
    <definedName name="_xlnm.Criteria">#REF!</definedName>
    <definedName name="csDesignMode">1</definedName>
    <definedName name="ctacte" localSheetId="10">#REF!</definedName>
    <definedName name="ctacte" localSheetId="9">#REF!</definedName>
    <definedName name="ctacte">#REF!</definedName>
    <definedName name="ctak">#REF!</definedName>
    <definedName name="CVALUE">'[5]Dados RiscoEnergia'!$E$6:$Q$17</definedName>
    <definedName name="D" localSheetId="10">#REF!</definedName>
    <definedName name="D" localSheetId="9">#REF!</definedName>
    <definedName name="D" localSheetId="2">#REF!</definedName>
    <definedName name="D" localSheetId="5">#REF!</definedName>
    <definedName name="D" localSheetId="14">#REF!</definedName>
    <definedName name="D">#REF!</definedName>
    <definedName name="Database_MI" localSheetId="2">#REF!</definedName>
    <definedName name="Database_MI" localSheetId="5">#REF!</definedName>
    <definedName name="Database_MI" localSheetId="14">#REF!</definedName>
    <definedName name="Database_MI">#REF!</definedName>
    <definedName name="datos">[4]historia!$A$115:$IV$183</definedName>
    <definedName name="DBHH" localSheetId="10">#REF!</definedName>
    <definedName name="DBHH" localSheetId="9">#REF!</definedName>
    <definedName name="DBHH" localSheetId="2">#REF!</definedName>
    <definedName name="DBHH" localSheetId="5">#REF!</definedName>
    <definedName name="DBHH" localSheetId="14">#REF!</definedName>
    <definedName name="DBHH">#REF!</definedName>
    <definedName name="DBT" localSheetId="2">#REF!</definedName>
    <definedName name="DBT" localSheetId="5">#REF!</definedName>
    <definedName name="DBT" localSheetId="14">#REF!</definedName>
    <definedName name="DBT">#REF!</definedName>
    <definedName name="DEC">'[5]Dados DEC e FEC'!$A$6:$CF$69</definedName>
    <definedName name="DEC_01">[6]Dados_DEC_2005!$B$21:$J$39</definedName>
    <definedName name="DEC_01_2005">[6]Dados_DEC!$B$21:$J$39</definedName>
    <definedName name="DEC_02">[6]Dados_DEC_2005!$B$41:$J$59</definedName>
    <definedName name="DEC_02_2005">[6]Dados_DEC!$B$41:$J$59</definedName>
    <definedName name="DEC_03">[6]Dados_DEC_2005!$B$61:$J$79</definedName>
    <definedName name="DEC_03_2005">[6]Dados_DEC!$B$61:$J$79</definedName>
    <definedName name="DEC_04">[6]Dados_DEC_2005!$B$81:$J$99</definedName>
    <definedName name="DEC_04_2005">[6]Dados_DEC!$B$81:$J$99</definedName>
    <definedName name="DEC_05">[6]Dados_DEC_2005!$B$101:$J$119</definedName>
    <definedName name="DEC_05_2005">[6]Dados_DEC!$B$101:$J$119</definedName>
    <definedName name="DEC_06">[6]Dados_DEC_2005!$B$121:$J$139</definedName>
    <definedName name="DEC_06_2005">[6]Dados_DEC!$B$121:$J$139</definedName>
    <definedName name="DEC_07">[6]Dados_DEC_2005!$B$141:$J$159</definedName>
    <definedName name="DEC_07_2005">[6]Dados_DEC!$B$141:$J$159</definedName>
    <definedName name="DEC_08">[6]Dados_DEC_2005!$B$181:$J$199</definedName>
    <definedName name="DEC_08_2005">[6]Dados_DEC!$B$181:$J$199</definedName>
    <definedName name="DEC_09">[6]Dados_DEC_2005!$B$201:$J$219</definedName>
    <definedName name="DEC_09_2005">[6]Dados_DEC!$B$201:$J$219</definedName>
    <definedName name="DEC_10">[6]Dados_DEC_2005!$B$221:$J$239</definedName>
    <definedName name="DEC_10_2005">[6]Dados_DEC!$B$221:$J$239</definedName>
    <definedName name="DEC_11">[6]Dados_DEC_2005!$B$241:$J$259</definedName>
    <definedName name="DEC_11_2005">[6]Dados_DEC!$B$241:$J$259</definedName>
    <definedName name="DEC_12">[6]Dados_DEC_2005!$B$261:$J$279</definedName>
    <definedName name="DEC_12_2005">[6]Dados_DEC!$B$261:$J$279</definedName>
    <definedName name="DEC_13">[6]Dados_DEC_2005!$B$281:$J$299</definedName>
    <definedName name="DEC_13_2005">[6]Dados_DEC!$B$281:$J$299</definedName>
    <definedName name="DEC_14">[6]Dados_DEC_2005!$B$301:$J$319</definedName>
    <definedName name="DEC_14_2005">[6]Dados_DEC!$B$301:$J$319</definedName>
    <definedName name="DEC_15">[6]Dados_DEC_2005!$B$321:$J$339</definedName>
    <definedName name="DEC_15_2005">[6]Dados_DEC!$B$321:$J$339</definedName>
    <definedName name="DEC_16">[6]Dados_DEC_2005!$B$341:$J$359</definedName>
    <definedName name="DEC_16_2005">[6]Dados_DEC!$B$341:$J$359</definedName>
    <definedName name="DEC_17">[6]Dados_DEC_2005!$B$361:$J$379</definedName>
    <definedName name="DEC_17_2005">[6]Dados_DEC!$B$361:$J$379</definedName>
    <definedName name="DEC_18">[6]Dados_DEC_2005!$B$381:$J$399</definedName>
    <definedName name="DEC_18_2005">[6]Dados_DEC!$B$381:$J$399</definedName>
    <definedName name="DEC_19">[6]Dados_DEC_2005!$B$401:$J$419</definedName>
    <definedName name="DEC_19_2005">[6]Dados_DEC!$B$401:$J$419</definedName>
    <definedName name="DEC_20">[6]Dados_DEC_2005!$B$421:$J$439</definedName>
    <definedName name="DEC_20_2005">[6]Dados_DEC!$B$421:$J$439</definedName>
    <definedName name="DEC_21">[6]Dados_DEC_2005!$B$441:$J$459</definedName>
    <definedName name="DEC_21_2005">[6]Dados_DEC!$B$441:$J$459</definedName>
    <definedName name="DEC_22">[6]Dados_DEC_2005!$B$461:$J$479</definedName>
    <definedName name="DEC_22_2005">[6]Dados_DEC!$B$461:$J$479</definedName>
    <definedName name="DEC_23">[6]Dados_DEC_2005!$B$481:$J$499</definedName>
    <definedName name="DEC_23_2005">[6]Dados_DEC!$B$481:$J$499</definedName>
    <definedName name="DEC_24">[6]Dados_DEC_2005!$B$501:$J$519</definedName>
    <definedName name="DEC_24_2005">[6]Dados_DEC!$B$501:$J$519</definedName>
    <definedName name="DEC_25">[6]Dados_DEC_2005!$B$521:$J$539</definedName>
    <definedName name="DEC_25_2005">[6]Dados_DEC!$B$521:$J$539</definedName>
    <definedName name="DEC_26">[6]Dados_DEC_2005!$B$541:$J$559</definedName>
    <definedName name="DEC_26_2005">[6]Dados_DEC!$B$541:$J$559</definedName>
    <definedName name="DEC_27">[6]Dados_DEC_2005!$B$561:$J$579</definedName>
    <definedName name="DEC_27_2005">[6]Dados_DEC!$B$561:$J$579</definedName>
    <definedName name="DEC_28">[6]Dados_DEC_2005!$B$581:$J$599</definedName>
    <definedName name="DEC_28_2005">[6]Dados_DEC!$B$581:$J$599</definedName>
    <definedName name="DEC_29">[6]Dados_DEC_2005!$B$601:$J$619</definedName>
    <definedName name="DEC_29_2005">[6]Dados_DEC!$B$601:$J$619</definedName>
    <definedName name="DEC_30">[6]Dados_DEC_2005!$B$621:$J$639</definedName>
    <definedName name="DEC_30_2005">[6]Dados_DEC!$B$621:$J$639</definedName>
    <definedName name="DEC_31">[6]Dados_DEC_2005!$B$641:$J$659</definedName>
    <definedName name="DEC_31_2005">[6]Dados_DEC!$B$641:$J$659</definedName>
    <definedName name="DEC_32">[6]Dados_DEC_2005!$B$661:$J$679</definedName>
    <definedName name="DEC_32_2005">[6]Dados_DEC!$B$661:$J$679</definedName>
    <definedName name="DEC_33">[6]Dados_DEC_2005!$B$681:$J$699</definedName>
    <definedName name="DEC_33_2005">[6]Dados_DEC!$B$681:$J$699</definedName>
    <definedName name="DEC_34">[6]Dados_DEC_2005!$B$701:$J$719</definedName>
    <definedName name="DEC_34_2005">[6]Dados_DEC!$B$701:$J$719</definedName>
    <definedName name="DEC_35">[6]Dados_DEC_2005!$B$721:$J$739</definedName>
    <definedName name="DEC_35_2005">[6]Dados_DEC!$B$721:$J$739</definedName>
    <definedName name="DEC_36">[6]Dados_DEC_2005!$B$741:$J$759</definedName>
    <definedName name="DEC_36_2005">[6]Dados_DEC!$B$741:$J$759</definedName>
    <definedName name="DEC_37">[6]Dados_DEC_2005!$B$161:$J$179</definedName>
    <definedName name="DEC_37_2005">[6]Dados_DEC!$B$161:$J$179</definedName>
    <definedName name="DEC_38">[6]Dados_DEC_2005!$B$761:$J$779</definedName>
    <definedName name="DEC_38_2005">[6]Dados_DEC!$B$761:$J$779</definedName>
    <definedName name="DEC_39">[6]Dados_DEC_2005!$B$781:$J$799</definedName>
    <definedName name="DEC_39_2005">[6]Dados_DEC!$B$781:$J$799</definedName>
    <definedName name="DEC_40">[6]Dados_DEC_2005!$B$961:$J$979</definedName>
    <definedName name="DEC_40_2005">[6]Dados_DEC!$B$961:$J$979</definedName>
    <definedName name="DEC_41">[6]Dados_DEC_2005!$B$801:$J$819</definedName>
    <definedName name="DEC_41_2005">[6]Dados_DEC!$B$801:$J$819</definedName>
    <definedName name="DEC_42">[6]Dados_DEC_2005!$B$821:$J$839</definedName>
    <definedName name="DEC_42_2005">[6]Dados_DEC!$B$821:$J$839</definedName>
    <definedName name="DEC_43">[6]Dados_DEC_2005!$B$841:$J$859</definedName>
    <definedName name="DEC_43_2005">[6]Dados_DEC!$B$841:$J$859</definedName>
    <definedName name="DEC_44">[6]Dados_DEC_2005!$B$861:$J$879</definedName>
    <definedName name="DEC_44_2005">[6]Dados_DEC!$B$861:$J$879</definedName>
    <definedName name="DEC_45">[6]Dados_DEC_2005!$B$881:$J$899</definedName>
    <definedName name="DEC_45_2005">[6]Dados_DEC!$B$881:$J$899</definedName>
    <definedName name="DEC_46">[6]Dados_DEC_2005!$B$901:$J$919</definedName>
    <definedName name="DEC_46_2005">[6]Dados_DEC!$B$901:$J$919</definedName>
    <definedName name="DEC_47">[6]Dados_DEC_2005!$B$921:$J$939</definedName>
    <definedName name="DEC_47_2005">[6]Dados_DEC!$B$921:$J$939</definedName>
    <definedName name="DEC_48">[6]Dados_DEC_2005!$B$941:$J$959</definedName>
    <definedName name="DEC_48_2005">[6]Dados_DEC!$B$941:$J$959</definedName>
    <definedName name="DEC_49">[6]Dados_DEC_2005!$B$981:$J$999</definedName>
    <definedName name="DEC_49_2005">[6]Dados_DEC!$B$981:$J$999</definedName>
    <definedName name="DEC_50">[6]Dados_DEC_2005!$B$1001:$J$1019</definedName>
    <definedName name="DEC_50_2005">[6]Dados_DEC!$B$1001:$J$1019</definedName>
    <definedName name="DEC_51">[6]Dados_DEC_2005!$B$1021:$J$1039</definedName>
    <definedName name="DEC_51_2005">[6]Dados_DEC!$B$1021:$J$1039</definedName>
    <definedName name="DEC_512005" localSheetId="10">[6]Dados_DEC!#REF!</definedName>
    <definedName name="DEC_512005" localSheetId="9">[6]Dados_DEC!#REF!</definedName>
    <definedName name="DEC_512005">[6]Dados_DEC!#REF!</definedName>
    <definedName name="DEC_52">[6]Dados_DEC_2005!$B$1041:$J$1059</definedName>
    <definedName name="DEC_52_2005">[6]Dados_DEC!$B$1041:$J$1059</definedName>
    <definedName name="DEC_53">[6]Dados_DEC_2005!$B$1061:$J$1079</definedName>
    <definedName name="DEC_53_2005">[6]Dados_DEC!$B$1061:$J$1079</definedName>
    <definedName name="DEC_54">[6]Dados_DEC_2005!$B$1081:$J$1099</definedName>
    <definedName name="DEC_54_2005">[6]Dados_DEC!$B$1081:$J$1099</definedName>
    <definedName name="DEC_55">[6]Dados_DEC_2005!$B$1101:$J$1119</definedName>
    <definedName name="DEC_55_2005">[6]Dados_DEC!$B$1101:$J$1119</definedName>
    <definedName name="DEC_56">[6]Dados_DEC_2005!$B$1121:$J$1139</definedName>
    <definedName name="DEC_56_2005">[6]Dados_DEC!$B$1121:$J$1139</definedName>
    <definedName name="DEC_57">[6]Dados_DEC_2005!$B$1141:$J$1159</definedName>
    <definedName name="DEC_57_2005">[6]Dados_DEC!$B$1141:$J$1159</definedName>
    <definedName name="DEC_58">[6]Dados_DEC_2005!$B$1161:$J$1179</definedName>
    <definedName name="DEC_58_2005">[6]Dados_DEC!$B$1161:$J$1179</definedName>
    <definedName name="DEC_ANHEMBI">[6]Dados_DEC_2005!$B$1241:$J$1259</definedName>
    <definedName name="DEC_ANHEMBI_2005">[6]Dados_DEC!$B$1241:$J$1259</definedName>
    <definedName name="DEC_CENTRO">[6]Dados_DEC_2005!$B$1261:$J$1279</definedName>
    <definedName name="DEC_CENTRO_">[6]Dados_DEC_2005!$B$1321:$J$1339</definedName>
    <definedName name="DEC_CENTRO_2005">[6]Dados_DEC!$B$1261:$J$1279</definedName>
    <definedName name="DEC_CENTRO_T">[6]Dados_DEC_2005!$B$1321:$J$1339</definedName>
    <definedName name="DEC_CENTRO_T_2005">[6]Dados_DEC!$B$1321:$J$1339</definedName>
    <definedName name="DEC_GRANDE_ABC">[6]Dados_DEC_2005!$B$1301:$J$1319</definedName>
    <definedName name="DEC_GRANDE_ABC_2005">[6]Dados_DEC!$B$1301:$J$1319</definedName>
    <definedName name="DEC_LESTE">[6]Dados_DEC_2005!$B$1281:$J$1299</definedName>
    <definedName name="DEC_LESTE_2005">[6]Dados_DEC!$B$1281:$J$1299</definedName>
    <definedName name="DEC_OESTE">[6]Dados_DEC_2005!$B$1201:$J$1219</definedName>
    <definedName name="DEC_OESTE_2005">[6]Dados_DEC!$B$1201:$J$1219</definedName>
    <definedName name="DEC_SP_SUL">[6]Dados_DEC_2005!$B$1221:$J$1239</definedName>
    <definedName name="DEC_SP_SUL_2005">[6]Dados_DEC!$B$1221:$J$1239</definedName>
    <definedName name="DEC_T">[6]Dados_DEC_2005!$B$1181:$J$1199</definedName>
    <definedName name="DEC_T_2005">[6]Dados_DEC!$B$1181:$J$1199</definedName>
    <definedName name="DECI" localSheetId="10">#REF!</definedName>
    <definedName name="DECI" localSheetId="9">#REF!</definedName>
    <definedName name="DECI" localSheetId="2">#REF!</definedName>
    <definedName name="DECI" localSheetId="5">#REF!</definedName>
    <definedName name="DECI" localSheetId="14">#REF!</definedName>
    <definedName name="DECI">#REF!</definedName>
    <definedName name="deprecia">'[4]aom reg'!$W$7:$AB$12</definedName>
    <definedName name="Depreciaciones_y_Amort.">'[12]#¡REF'!$B$17</definedName>
    <definedName name="DEPRECIATION" localSheetId="10">#REF!</definedName>
    <definedName name="DEPRECIATION" localSheetId="9">#REF!</definedName>
    <definedName name="DEPRECIATION" localSheetId="2">#REF!</definedName>
    <definedName name="DEPRECIATION" localSheetId="5">#REF!</definedName>
    <definedName name="DEPRECIATION" localSheetId="14">#REF!</definedName>
    <definedName name="DEPRECIATION">#REF!</definedName>
    <definedName name="DEPT____GN_D" localSheetId="10">[14]ANALITICO!#REF!</definedName>
    <definedName name="DEPT____GN_D" localSheetId="9">[14]ANALITICO!#REF!</definedName>
    <definedName name="DEPT____GN_D" localSheetId="2">[14]ANALITICO!#REF!</definedName>
    <definedName name="DEPT____GN_D" localSheetId="14">[14]ANALITICO!#REF!</definedName>
    <definedName name="DEPT____GN_D">[14]ANALITICO!#REF!</definedName>
    <definedName name="DESFALT" localSheetId="10">#REF!</definedName>
    <definedName name="DESFALT" localSheetId="9">#REF!</definedName>
    <definedName name="DESFALT" localSheetId="2">#REF!</definedName>
    <definedName name="DESFALT" localSheetId="5">#REF!</definedName>
    <definedName name="DESFALT" localSheetId="14">#REF!</definedName>
    <definedName name="DESFALT">#REF!</definedName>
    <definedName name="DESPESAS">'[5]Dados Inadimplência'!$C$49:$O$62</definedName>
    <definedName name="DEUDA" localSheetId="10">#REF!</definedName>
    <definedName name="DEUDA" localSheetId="9">#REF!</definedName>
    <definedName name="DEUDA" localSheetId="2">#REF!</definedName>
    <definedName name="DEUDA" localSheetId="5">#REF!</definedName>
    <definedName name="DEUDA" localSheetId="14">#REF!</definedName>
    <definedName name="DEUDA">#REF!</definedName>
    <definedName name="DEUDAL" localSheetId="2">#REF!</definedName>
    <definedName name="DEUDAL" localSheetId="5">#REF!</definedName>
    <definedName name="DEUDAL" localSheetId="14">#REF!</definedName>
    <definedName name="DEUDAL">#REF!</definedName>
    <definedName name="deudalp" localSheetId="2">#REF!</definedName>
    <definedName name="deudalp" localSheetId="5">#REF!</definedName>
    <definedName name="deudalp" localSheetId="14">#REF!</definedName>
    <definedName name="deudalp">#REF!</definedName>
    <definedName name="dfjdlñfj" localSheetId="10" hidden="1">{"'EST.RDOS(INT)'!$A$5:$E$58"}</definedName>
    <definedName name="dfjdlñfj" localSheetId="9" hidden="1">{"'EST.RDOS(INT)'!$A$5:$E$58"}</definedName>
    <definedName name="dfjdlñfj" localSheetId="2" hidden="1">{"'EST.RDOS(INT)'!$A$5:$E$58"}</definedName>
    <definedName name="dfjdlñfj" localSheetId="5" hidden="1">{"'EST.RDOS(INT)'!$A$5:$E$58"}</definedName>
    <definedName name="dfjdlñfj" localSheetId="14" hidden="1">{"'EST.RDOS(INT)'!$A$5:$E$58"}</definedName>
    <definedName name="dfjdlñfj" hidden="1">{"'EST.RDOS(INT)'!$A$5:$E$58"}</definedName>
    <definedName name="DICFIC">'[5]Dados DEC e FEC'!$C$227:$O$244</definedName>
    <definedName name="Dif._Cambio">'[12]#¡REF'!$B$23</definedName>
    <definedName name="Disponibilidad_Final">'[12]#¡REF'!$B$57</definedName>
    <definedName name="dividendos">[4]Dividendos!$P$34:$W$46</definedName>
    <definedName name="dividendos_2">[4]Dividendos!$A$2:$K$26</definedName>
    <definedName name="DSDSD" localSheetId="10">#REF!</definedName>
    <definedName name="DSDSD" localSheetId="9">#REF!</definedName>
    <definedName name="DSDSD" localSheetId="2">#REF!</definedName>
    <definedName name="DSDSD" localSheetId="5">#REF!</definedName>
    <definedName name="DSDSD" localSheetId="14">#REF!</definedName>
    <definedName name="DSDSD">#REF!</definedName>
    <definedName name="DSO">'[5]Dados Inadimplência'!$C$66:$O$69</definedName>
    <definedName name="DUFF" localSheetId="10" hidden="1">{"'EST.RDOS(INT)'!$A$5:$E$58"}</definedName>
    <definedName name="DUFF" localSheetId="9" hidden="1">{"'EST.RDOS(INT)'!$A$5:$E$58"}</definedName>
    <definedName name="DUFF" localSheetId="2" hidden="1">{"'EST.RDOS(INT)'!$A$5:$E$58"}</definedName>
    <definedName name="DUFF" localSheetId="5" hidden="1">{"'EST.RDOS(INT)'!$A$5:$E$58"}</definedName>
    <definedName name="DUFF" localSheetId="14" hidden="1">{"'EST.RDOS(INT)'!$A$5:$E$58"}</definedName>
    <definedName name="DUFF" hidden="1">{"'EST.RDOS(INT)'!$A$5:$E$58"}</definedName>
    <definedName name="duff2" localSheetId="10" hidden="1">{"'EST.RDOS(INT)'!$A$5:$E$58"}</definedName>
    <definedName name="duff2" localSheetId="9" hidden="1">{"'EST.RDOS(INT)'!$A$5:$E$58"}</definedName>
    <definedName name="duff2" localSheetId="2" hidden="1">{"'EST.RDOS(INT)'!$A$5:$E$58"}</definedName>
    <definedName name="duff2" localSheetId="5" hidden="1">{"'EST.RDOS(INT)'!$A$5:$E$58"}</definedName>
    <definedName name="duff2" localSheetId="14"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'[6]Dados Clandestina'!$T$54:$AF$56</definedName>
    <definedName name="EAS_ACUM">'[6]Dados Clandestina'!$D$84:$J$86</definedName>
    <definedName name="EAS_ANHEMBI">'[6]Dados Clandestina'!$T$39:$AF$41</definedName>
    <definedName name="EAS_CENTRO">'[6]Dados Clandestina'!$T$44:$AF$46</definedName>
    <definedName name="EAS_ELPA">'[6]Dados Clandestina'!$T$24:$AF$26</definedName>
    <definedName name="EAS_LESTE">'[6]Dados Clandestina'!$T$49:$AF$51</definedName>
    <definedName name="EAS_OESTE">'[6]Dados Clandestina'!$T$29:$AF$31</definedName>
    <definedName name="EAS_SUL">'[6]Dados Clandestina'!$T$34:$AF$36</definedName>
    <definedName name="EATIT">[5]Dados_Perdas!$Q$17:$Q$20</definedName>
    <definedName name="EBITDA___INTERESES_OPERACIÓN">'[12]#¡REF'!$B$43</definedName>
    <definedName name="EBITDA___SALDO_DEUDA_L.P">'[12]#¡REF'!$B$44</definedName>
    <definedName name="ebitda_inter">'[15]graf indi'!$J$52</definedName>
    <definedName name="ebitda_negocio">'[4]PyG Año 00-01-02'!$A$174:$I$216</definedName>
    <definedName name="EBITDAMEM">'[4]PyG Año 00-01-02'!$A$202</definedName>
    <definedName name="ELITE" localSheetId="10">#REF!</definedName>
    <definedName name="ELITE" localSheetId="9">#REF!</definedName>
    <definedName name="ELITE" localSheetId="2">#REF!</definedName>
    <definedName name="ELITE" localSheetId="5">#REF!</definedName>
    <definedName name="ELITE" localSheetId="14">#REF!</definedName>
    <definedName name="ELITE">#REF!</definedName>
    <definedName name="ELITE1" localSheetId="2">#REF!</definedName>
    <definedName name="ELITE1" localSheetId="5">#REF!</definedName>
    <definedName name="ELITE1" localSheetId="14">#REF!</definedName>
    <definedName name="ELITE1">#REF!</definedName>
    <definedName name="ENDEUDAMIENTO_BANCARIO">'[12]#¡REF'!$B$39</definedName>
    <definedName name="ENDEUDAMIENTO_L.P.">'[12]#¡REF'!$B$38</definedName>
    <definedName name="ENERO" localSheetId="10">'[16]AOM CON FAER mes'!#REF!</definedName>
    <definedName name="ENERO" localSheetId="9">'[16]AOM CON FAER mes'!#REF!</definedName>
    <definedName name="ENERO">'[16]AOM CON FAER mes'!#REF!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'[6]Dados ISO 9001'!$H$24:$I$30</definedName>
    <definedName name="ERP" localSheetId="10">#REF!</definedName>
    <definedName name="ERP" localSheetId="9">#REF!</definedName>
    <definedName name="ERP" localSheetId="2">#REF!</definedName>
    <definedName name="ERP" localSheetId="5">#REF!</definedName>
    <definedName name="ERP" localSheetId="14">#REF!</definedName>
    <definedName name="ERP">#REF!</definedName>
    <definedName name="ERPC" localSheetId="2">#REF!</definedName>
    <definedName name="ERPC" localSheetId="5">#REF!</definedName>
    <definedName name="ERPC" localSheetId="14">#REF!</definedName>
    <definedName name="ERPC">#REF!</definedName>
    <definedName name="ERROR" localSheetId="2">#REF!</definedName>
    <definedName name="ERROR" localSheetId="5">#REF!</definedName>
    <definedName name="ERROR" localSheetId="14">#REF!</definedName>
    <definedName name="ERROR">#REF!</definedName>
    <definedName name="ESP">#REF!</definedName>
    <definedName name="ESPC">#REF!</definedName>
    <definedName name="Estado_Resultados">[9]HESREGRF!$A$16:$G$46</definedName>
    <definedName name="Estados_Resultados_Datos">[9]ESRES!$A$1:$G$40</definedName>
    <definedName name="ESTITLE" localSheetId="10">#REF!</definedName>
    <definedName name="ESTITLE" localSheetId="9">#REF!</definedName>
    <definedName name="ESTITLE" localSheetId="2">#REF!</definedName>
    <definedName name="ESTITLE" localSheetId="5">#REF!</definedName>
    <definedName name="ESTITLE" localSheetId="14">#REF!</definedName>
    <definedName name="ESTITLE">#REF!</definedName>
    <definedName name="evolucion_de_la_deuda">[4]Gráficas!$A$2:$H$10</definedName>
    <definedName name="Exec_Fora_Prazo_CE">'[6]Dados de relacionamento'!$B$138:$N$144</definedName>
    <definedName name="Exec_Fora_Prazo_LN">'[6]Dados de relacionamento'!$B$56:$N$62</definedName>
    <definedName name="Exec_Fora_Prazo_RL">'[6]Dados de relacionamento'!$B$81:$N$87</definedName>
    <definedName name="Exec_Fora_Prazo_RLU">'[6]Dados de relacionamento'!$B$106:$N$112</definedName>
    <definedName name="Exec_Fora_Prazo_SE">'[6]Dados de relacionamento'!$B$160:$N$166</definedName>
    <definedName name="EXP" localSheetId="10">#REF!</definedName>
    <definedName name="EXP" localSheetId="9">#REF!</definedName>
    <definedName name="EXP" localSheetId="2">#REF!</definedName>
    <definedName name="EXP" localSheetId="5">#REF!</definedName>
    <definedName name="EXP" localSheetId="14">#REF!</definedName>
    <definedName name="EXP">#REF!</definedName>
    <definedName name="exponotra" localSheetId="2">#REF!</definedName>
    <definedName name="exponotra" localSheetId="5">#REF!</definedName>
    <definedName name="exponotra" localSheetId="14">#REF!</definedName>
    <definedName name="exponotra">#REF!</definedName>
    <definedName name="EXTRACCIÓN_IM">#N/A</definedName>
    <definedName name="Extract_MI" localSheetId="10">#REF!</definedName>
    <definedName name="Extract_MI" localSheetId="9">#REF!</definedName>
    <definedName name="Extract_MI" localSheetId="2">#REF!</definedName>
    <definedName name="Extract_MI" localSheetId="5">#REF!</definedName>
    <definedName name="Extract_MI" localSheetId="14">#REF!</definedName>
    <definedName name="Extract_MI">#REF!</definedName>
    <definedName name="EYD" localSheetId="2">#REF!</definedName>
    <definedName name="EYD" localSheetId="14">#REF!</definedName>
    <definedName name="EYD">#REF!</definedName>
    <definedName name="factor">'[7]c.u. vigentes'!$B$26</definedName>
    <definedName name="FALT" localSheetId="10">#REF!</definedName>
    <definedName name="FALT" localSheetId="9">#REF!</definedName>
    <definedName name="FALT" localSheetId="2">#REF!</definedName>
    <definedName name="FALT" localSheetId="5">#REF!</definedName>
    <definedName name="FALT" localSheetId="14">#REF!</definedName>
    <definedName name="FALT">#REF!</definedName>
    <definedName name="FALT1" localSheetId="2">#REF!</definedName>
    <definedName name="FALT1" localSheetId="5">#REF!</definedName>
    <definedName name="FALT1" localSheetId="14">#REF!</definedName>
    <definedName name="FALT1">#REF!</definedName>
    <definedName name="FALTANTE" localSheetId="2">#REF!</definedName>
    <definedName name="FALTANTE" localSheetId="5">#REF!</definedName>
    <definedName name="FALTANTE" localSheetId="14">#REF!</definedName>
    <definedName name="FALTANTE">#REF!</definedName>
    <definedName name="FATAL">[5]DadosSeguranc!$G$390:$R$395</definedName>
    <definedName name="FCRA" localSheetId="10">#REF!</definedName>
    <definedName name="FCRA" localSheetId="9">#REF!</definedName>
    <definedName name="FCRA" localSheetId="2">#REF!</definedName>
    <definedName name="FCRA" localSheetId="5">#REF!</definedName>
    <definedName name="FCRA" localSheetId="14">#REF!</definedName>
    <definedName name="FCRA">#REF!</definedName>
    <definedName name="FD_EUR">'[10]#¡REF'!$E$4:$E$43</definedName>
    <definedName name="FD_JPY">'[10]#¡REF'!$F$4:$F$43</definedName>
    <definedName name="FD_USD">'[10]#¡REF'!$D$4:$D$43</definedName>
    <definedName name="FEC">'[5]Dados DEC e FEC'!$A$80:$CF$142</definedName>
    <definedName name="FEC_01">[6]Dados_FEC_2005!$B$21:$J$39</definedName>
    <definedName name="FEC_01_2005">[6]Dados_FEC!$B$21:$J$39</definedName>
    <definedName name="FEC_02">[6]Dados_FEC_2005!$B$41:$J$59</definedName>
    <definedName name="FEC_02_2005">[6]Dados_FEC!$B$41:$J$59</definedName>
    <definedName name="FEC_03">[6]Dados_FEC_2005!$B$61:$J$79</definedName>
    <definedName name="FEC_03_2005">[6]Dados_FEC!$B$61:$J$79</definedName>
    <definedName name="FEC_04">[6]Dados_FEC_2005!$B$81:$J$99</definedName>
    <definedName name="FEC_04_2005">[6]Dados_FEC!$B$81:$J$99</definedName>
    <definedName name="FEC_05">[6]Dados_FEC_2005!$B$101:$J$119</definedName>
    <definedName name="FEC_05_2005">[6]Dados_FEC!$B$101:$J$119</definedName>
    <definedName name="FEC_06">[6]Dados_FEC_2005!$B$121:$J$139</definedName>
    <definedName name="FEC_06_2005">[6]Dados_FEC!$B$121:$J$139</definedName>
    <definedName name="FEC_07">[6]Dados_FEC_2005!$B$141:$J$159</definedName>
    <definedName name="FEC_07_2005">[6]Dados_FEC!$B$141:$J$159</definedName>
    <definedName name="FEC_08">[6]Dados_FEC_2005!$B$181:$J$199</definedName>
    <definedName name="FEC_08_2005">[6]Dados_FEC!$B$181:$J$199</definedName>
    <definedName name="FEC_09">[6]Dados_FEC_2005!$B$201:$J$219</definedName>
    <definedName name="FEC_09_2005">[6]Dados_FEC!$B$201:$J$219</definedName>
    <definedName name="FEC_10">[6]Dados_FEC_2005!$B$221:$J$239</definedName>
    <definedName name="FEC_10_2005">[6]Dados_FEC!$B$221:$J$239</definedName>
    <definedName name="FEC_11">[6]Dados_FEC_2005!$B$241:$J$259</definedName>
    <definedName name="FEC_11_2005">[6]Dados_FEC!$B$241:$J$259</definedName>
    <definedName name="FEC_12">[6]Dados_FEC_2005!$B$261:$J$279</definedName>
    <definedName name="FEC_12_2005">[6]Dados_FEC!$B$261:$J$279</definedName>
    <definedName name="FEC_13">[6]Dados_FEC_2005!$B$281:$J$299</definedName>
    <definedName name="FEC_13_2005">[6]Dados_FEC!$B$281:$J$299</definedName>
    <definedName name="FEC_14">[6]Dados_FEC_2005!$B$301:$J$319</definedName>
    <definedName name="FEC_14_2005">[6]Dados_FEC!$B$301:$J$319</definedName>
    <definedName name="FEC_15">[6]Dados_FEC_2005!$B$321:$J$339</definedName>
    <definedName name="FEC_15_2005">[6]Dados_FEC!$B$321:$J$339</definedName>
    <definedName name="FEC_16">[6]Dados_FEC_2005!$B$341:$J$359</definedName>
    <definedName name="FEC_16_2005">[6]Dados_FEC!$B$341:$J$359</definedName>
    <definedName name="FEC_17">[6]Dados_FEC_2005!$B$361:$J$379</definedName>
    <definedName name="FEC_17_2005">[6]Dados_FEC!$B$361:$J$379</definedName>
    <definedName name="FEC_18">[6]Dados_FEC_2005!$B$381:$J$399</definedName>
    <definedName name="FEC_18_2005">[6]Dados_FEC!$B$381:$J$399</definedName>
    <definedName name="FEC_19">[6]Dados_FEC_2005!$B$401:$J$419</definedName>
    <definedName name="FEC_19_2005">[6]Dados_FEC!$B$401:$J$419</definedName>
    <definedName name="FEC_20">[6]Dados_FEC_2005!$B$421:$J$439</definedName>
    <definedName name="FEC_20_2005">[6]Dados_FEC!$B$421:$J$439</definedName>
    <definedName name="FEC_21">[6]Dados_FEC_2005!$B$441:$J$459</definedName>
    <definedName name="FEC_21_2005">[6]Dados_FEC!$B$441:$J$459</definedName>
    <definedName name="FEC_22">[6]Dados_FEC_2005!$B$461:$J$479</definedName>
    <definedName name="FEC_22_2005">[6]Dados_FEC!$B$461:$J$479</definedName>
    <definedName name="FEC_23">[6]Dados_FEC_2005!$B$481:$J$499</definedName>
    <definedName name="FEC_23_2005">[6]Dados_FEC!$B$481:$J$499</definedName>
    <definedName name="FEC_24">[6]Dados_FEC_2005!$B$501:$J$519</definedName>
    <definedName name="FEC_24_2005">[6]Dados_FEC!$B$501:$J$519</definedName>
    <definedName name="FEC_25">[6]Dados_FEC_2005!$B$521:$J$539</definedName>
    <definedName name="FEC_25_2005">[6]Dados_FEC!$B$521:$J$539</definedName>
    <definedName name="FEC_26">[6]Dados_FEC_2005!$B$541:$J$559</definedName>
    <definedName name="FEC_26_2005">[6]Dados_FEC!$B$541:$J$559</definedName>
    <definedName name="FEC_27">[6]Dados_FEC_2005!$B$561:$J$579</definedName>
    <definedName name="FEC_27_2005">[6]Dados_FEC!$B$561:$J$579</definedName>
    <definedName name="FEC_28">[6]Dados_FEC_2005!$B$581:$J$599</definedName>
    <definedName name="FEC_28_2005">[6]Dados_FEC!$B$581:$J$599</definedName>
    <definedName name="FEC_29">[6]Dados_FEC_2005!$B$601:$J$619</definedName>
    <definedName name="FEC_29_2005">[6]Dados_FEC!$B$601:$J$619</definedName>
    <definedName name="FEC_30">[6]Dados_FEC_2005!$B$621:$J$639</definedName>
    <definedName name="FEC_30_2005">[6]Dados_FEC!$B$621:$J$639</definedName>
    <definedName name="FEC_31">[6]Dados_FEC_2005!$B$641:$J$659</definedName>
    <definedName name="FEC_31_2005">[6]Dados_FEC!$B$641:$J$659</definedName>
    <definedName name="FEC_32">[6]Dados_FEC_2005!$B$661:$J$679</definedName>
    <definedName name="FEC_32_2005">[6]Dados_FEC!$B$661:$J$679</definedName>
    <definedName name="FEC_33">[6]Dados_FEC_2005!$B$681:$J$699</definedName>
    <definedName name="FEC_33_2005">[6]Dados_FEC!$B$681:$J$699</definedName>
    <definedName name="FEC_34">[6]Dados_FEC_2005!$B$701:$J$719</definedName>
    <definedName name="FEC_34_2005">[6]Dados_FEC!$B$701:$J$719</definedName>
    <definedName name="FEC_35">[6]Dados_FEC_2005!$B$721:$J$739</definedName>
    <definedName name="FEC_35_2005">[6]Dados_FEC!$B$721:$J$739</definedName>
    <definedName name="FEC_36">[6]Dados_FEC_2005!$B$741:$J$759</definedName>
    <definedName name="FEC_36_2005">[6]Dados_FEC!$B$741:$J$759</definedName>
    <definedName name="FEC_37">[6]Dados_FEC_2005!$B$161:$J$179</definedName>
    <definedName name="FEC_37_2005">[6]Dados_FEC!$B$161:$J$179</definedName>
    <definedName name="FEC_38">[6]Dados_FEC_2005!$B$761:$J$779</definedName>
    <definedName name="FEC_38_2005">[6]Dados_FEC!$B$761:$J$779</definedName>
    <definedName name="FEC_39">[6]Dados_FEC_2005!$B$781:$J$799</definedName>
    <definedName name="FEC_39_2005">[6]Dados_FEC!$B$781:$J$799</definedName>
    <definedName name="FEC_40">[6]Dados_FEC_2005!$B$961:$J$979</definedName>
    <definedName name="FEC_40_2005">[6]Dados_FEC!$B$961:$J$979</definedName>
    <definedName name="FEC_41">[6]Dados_FEC_2005!$B$801:$J$819</definedName>
    <definedName name="FEC_41_2005">[6]Dados_FEC!$B$801:$J$819</definedName>
    <definedName name="FEC_42">[6]Dados_FEC_2005!$B$821:$J$839</definedName>
    <definedName name="FEC_42_2005">[6]Dados_FEC!$B$821:$J$839</definedName>
    <definedName name="FEC_43">[6]Dados_FEC_2005!$B$841:$J$859</definedName>
    <definedName name="FEC_43_2005">[6]Dados_FEC!$B$841:$J$859</definedName>
    <definedName name="FEC_44">[6]Dados_FEC_2005!$B$861:$J$879</definedName>
    <definedName name="FEC_44_2005">[6]Dados_FEC!$B$861:$J$879</definedName>
    <definedName name="FEC_45">[6]Dados_FEC_2005!$B$881:$J$899</definedName>
    <definedName name="FEC_45_2005">[6]Dados_FEC!$B$881:$J$899</definedName>
    <definedName name="FEC_46">[6]Dados_FEC_2005!$B$901:$J$919</definedName>
    <definedName name="FEC_46_2005">[6]Dados_FEC!$B$901:$J$919</definedName>
    <definedName name="FEC_47">[6]Dados_FEC_2005!$B$921:$J$939</definedName>
    <definedName name="FEC_47_2005">[6]Dados_FEC!$B$921:$J$939</definedName>
    <definedName name="FEC_48">[6]Dados_FEC_2005!$B$941:$J$959</definedName>
    <definedName name="FEC_48_2005">[6]Dados_FEC!$B$941:$J$959</definedName>
    <definedName name="FEC_49">[6]Dados_FEC_2005!$B$981:$J$999</definedName>
    <definedName name="FEC_49_2005">[6]Dados_FEC!$B$981:$J$999</definedName>
    <definedName name="FEC_50">[6]Dados_FEC_2005!$B$1001:$J$1019</definedName>
    <definedName name="FEC_50_2005">[6]Dados_FEC!$B$1001:$J$1019</definedName>
    <definedName name="FEC_51">[6]Dados_FEC_2005!$B$1021:$J$1039</definedName>
    <definedName name="FEC_51_2005">[6]Dados_FEC!$B$1021:$J$1039</definedName>
    <definedName name="FEC_52">[6]Dados_FEC_2005!$B$1041:$J$1059</definedName>
    <definedName name="FEC_52_2005">[6]Dados_FEC!$B$1041:$J$1059</definedName>
    <definedName name="FEC_53">[6]Dados_FEC_2005!$B$1061:$J$1079</definedName>
    <definedName name="FEC_53_2005">[6]Dados_FEC!$B$1061:$J$1079</definedName>
    <definedName name="FEC_54">[6]Dados_FEC_2005!$B$1081:$J$1099</definedName>
    <definedName name="FEC_54_2005">[6]Dados_FEC!$B$1081:$J$1099</definedName>
    <definedName name="FEC_55">[6]Dados_FEC_2005!$B$1101:$J$1119</definedName>
    <definedName name="FEC_55_2005">[6]Dados_FEC!$B$1101:$J$1119</definedName>
    <definedName name="FEC_56">[6]Dados_FEC_2005!$B$1121:$J$1139</definedName>
    <definedName name="FEC_56_2005">[6]Dados_FEC!$B$1121:$J$1139</definedName>
    <definedName name="FEC_57">[6]Dados_FEC_2005!$B$1141:$J$1159</definedName>
    <definedName name="FEC_57_2005">[6]Dados_FEC!$B$1141:$J$1159</definedName>
    <definedName name="FEC_58">[6]Dados_FEC_2005!$B$1161:$J$1179</definedName>
    <definedName name="FEC_58_2005">[6]Dados_FEC!$B$1161:$J$1179</definedName>
    <definedName name="FEC_ANHEMBI">[6]Dados_FEC_2005!$B$1241:$J$1259</definedName>
    <definedName name="FEC_ANHEMBI_2005">[6]Dados_FEC!$B$1241:$J$1259</definedName>
    <definedName name="FEC_CENTRO">[6]Dados_FEC_2005!$B$1261:$J$1279</definedName>
    <definedName name="FEC_CENTRO_2005">[6]Dados_FEC!$B$1261:$J$1279</definedName>
    <definedName name="FEC_CENTRO_T">[6]Dados_FEC_2005!$B$1321:$J$1339</definedName>
    <definedName name="FEC_CENTRO_T_2005">[6]Dados_FEC!$B$1321:$J$1339</definedName>
    <definedName name="FEC_GRANDE_ABC">[6]Dados_FEC_2005!$B$1301:$J$1319</definedName>
    <definedName name="FEC_GRANDE_ABC_2005">[6]Dados_FEC!$B$1301:$J$1319</definedName>
    <definedName name="FEC_LESTE">[6]Dados_FEC_2005!$B$1281:$J$1299</definedName>
    <definedName name="FEC_LESTE_2005">[6]Dados_FEC!$B$1281:$J$1299</definedName>
    <definedName name="FEC_OESTE">[6]Dados_FEC_2005!$B$1201:$J$1219</definedName>
    <definedName name="FEC_OESTE_2005">[6]Dados_FEC!$B$1201:$J$1219</definedName>
    <definedName name="FEC_SP_SUL">[6]Dados_FEC_2005!$B$1221:$J$1239</definedName>
    <definedName name="FEC_SP_SUL_2005">[6]Dados_FEC!$B$1221:$J$1239</definedName>
    <definedName name="FEC_T">[6]Dados_FEC_2005!$B$1181:$J$1199</definedName>
    <definedName name="FEC_T_2005">[6]Dados_FEC!$B$1181:$J$1199</definedName>
    <definedName name="FECHA">[7]ELEGIR!$E$8</definedName>
    <definedName name="FFSDFSD" localSheetId="10">#REF!</definedName>
    <definedName name="FFSDFSD" localSheetId="9">#REF!</definedName>
    <definedName name="FFSDFSD" localSheetId="2">#REF!</definedName>
    <definedName name="FFSDFSD" localSheetId="5">#REF!</definedName>
    <definedName name="FFSDFSD" localSheetId="14">#REF!</definedName>
    <definedName name="FFSDFSD">#REF!</definedName>
    <definedName name="fg" localSheetId="10" hidden="1">{"'EST.RDOS(INT)'!$A$5:$E$58"}</definedName>
    <definedName name="fg" localSheetId="9" hidden="1">{"'EST.RDOS(INT)'!$A$5:$E$58"}</definedName>
    <definedName name="fg" localSheetId="2" hidden="1">{"'EST.RDOS(INT)'!$A$5:$E$58"}</definedName>
    <definedName name="fg" localSheetId="5" hidden="1">{"'EST.RDOS(INT)'!$A$5:$E$58"}</definedName>
    <definedName name="fg" localSheetId="14" hidden="1">{"'EST.RDOS(INT)'!$A$5:$E$58"}</definedName>
    <definedName name="fg" hidden="1">{"'EST.RDOS(INT)'!$A$5:$E$58"}</definedName>
    <definedName name="Financiación">'[12]#¡REF'!$B$7</definedName>
    <definedName name="flujocpa" localSheetId="10">#REF!</definedName>
    <definedName name="flujocpa" localSheetId="9">#REF!</definedName>
    <definedName name="flujocpa" localSheetId="2">#REF!</definedName>
    <definedName name="flujocpa" localSheetId="5">#REF!</definedName>
    <definedName name="flujocpa" localSheetId="14">#REF!</definedName>
    <definedName name="flujocpa">#REF!</definedName>
    <definedName name="flujocpp" localSheetId="2">#REF!</definedName>
    <definedName name="flujocpp" localSheetId="5">#REF!</definedName>
    <definedName name="flujocpp" localSheetId="14">#REF!</definedName>
    <definedName name="flujocpp">#REF!</definedName>
    <definedName name="flujoesp" localSheetId="2">#REF!</definedName>
    <definedName name="flujoesp" localSheetId="5">#REF!</definedName>
    <definedName name="flujoesp" localSheetId="14">#REF!</definedName>
    <definedName name="flujoesp">#REF!</definedName>
    <definedName name="flujolpa">#REF!</definedName>
    <definedName name="flujolpo">#REF!</definedName>
    <definedName name="flujolpp">#REF!</definedName>
    <definedName name="FMS">'[5]Dados de Ouvidoria'!$D$2:$P$15</definedName>
    <definedName name="FORA_PRAZO">'[6]Dados Ouvidoria II'!$C$50:$O$56</definedName>
    <definedName name="FORDIV" localSheetId="10">#REF!</definedName>
    <definedName name="FORDIV" localSheetId="9">#REF!</definedName>
    <definedName name="FORDIV" localSheetId="2">#REF!</definedName>
    <definedName name="FORDIV" localSheetId="5">#REF!</definedName>
    <definedName name="FORDIV" localSheetId="14">#REF!</definedName>
    <definedName name="FORDIV">#REF!</definedName>
    <definedName name="FRANOM">[5]Dados_Perdas!$C$18:$O$29</definedName>
    <definedName name="Fraude_CSPE">'[6]Dados Ouvidoria II'!$C$70:$O$76</definedName>
    <definedName name="FUEN" localSheetId="10">#REF!,#REF!,#REF!,#REF!,#REF!,#REF!,#REF!,#REF!,#REF!,#REF!,#REF!,#REF!,#REF!,#REF!,#REF!,#REF!,#REF!,#REF!,#REF!,#REF!,#REF!,#REF!,#REF!,#REF!,#REF!,#REF!,#REF!,#REF!,#REF!</definedName>
    <definedName name="FUEN" localSheetId="9">#REF!,#REF!,#REF!,#REF!,#REF!,#REF!,#REF!,#REF!,#REF!,#REF!,#REF!,#REF!,#REF!,#REF!,#REF!,#REF!,#REF!,#REF!,#REF!,#REF!,#REF!,#REF!,#REF!,#REF!,#REF!,#REF!,#REF!,#REF!,#REF!</definedName>
    <definedName name="FUEN" localSheetId="2">#REF!,#REF!,#REF!,#REF!,#REF!,#REF!,#REF!,#REF!,#REF!,#REF!,#REF!,#REF!,#REF!,#REF!,#REF!,#REF!,#REF!,#REF!,#REF!,#REF!,#REF!,#REF!,#REF!,#REF!,#REF!,#REF!,#REF!,#REF!,#REF!</definedName>
    <definedName name="FUEN" localSheetId="5">#REF!,#REF!,#REF!,#REF!,#REF!,#REF!,#REF!,#REF!,#REF!,#REF!,#REF!,#REF!,#REF!,#REF!,#REF!,#REF!,#REF!,#REF!,#REF!,#REF!,#REF!,#REF!,#REF!,#REF!,#REF!,#REF!,#REF!,#REF!,#REF!</definedName>
    <definedName name="FUEN" localSheetId="14">#REF!,#REF!,#REF!,#REF!,#REF!,#REF!,#REF!,#REF!,#REF!,#REF!,#REF!,#REF!,#REF!,#REF!,#REF!,#REF!,#REF!,#REF!,#REF!,#REF!,#REF!,#REF!,#REF!,#REF!,#REF!,#REF!,#REF!,#REF!,#REF!</definedName>
    <definedName name="FUEN">#REF!,#REF!,#REF!,#REF!,#REF!,#REF!,#REF!,#REF!,#REF!,#REF!,#REF!,#REF!,#REF!,#REF!,#REF!,#REF!,#REF!,#REF!,#REF!,#REF!,#REF!,#REF!,#REF!,#REF!,#REF!,#REF!,#REF!,#REF!,#REF!</definedName>
    <definedName name="Gastos_AOM">'[12]#¡REF'!$B$15</definedName>
    <definedName name="Gastos_de_Funcionamiento">'[12]#¡REF'!$B$56</definedName>
    <definedName name="gastos_finan">'[4]PyG Año 00-01-02'!$A$86:$H$90</definedName>
    <definedName name="GASTOS_GENERALES" localSheetId="10">#REF!</definedName>
    <definedName name="GASTOS_GENERALES" localSheetId="9">#REF!</definedName>
    <definedName name="GASTOS_GENERALES" localSheetId="2">#REF!</definedName>
    <definedName name="GASTOS_GENERALES" localSheetId="5">#REF!</definedName>
    <definedName name="GASTOS_GENERALES" localSheetId="14">#REF!</definedName>
    <definedName name="GASTOS_GENERALES">#REF!</definedName>
    <definedName name="Gastos_Operacionales" localSheetId="2">#REF!</definedName>
    <definedName name="Gastos_Operacionales" localSheetId="5">#REF!</definedName>
    <definedName name="Gastos_Operacionales" localSheetId="14">#REF!</definedName>
    <definedName name="Gastos_Operacionales">#REF!</definedName>
    <definedName name="GESTION" localSheetId="2">#REF!</definedName>
    <definedName name="GESTION" localSheetId="5">#REF!</definedName>
    <definedName name="GESTION" localSheetId="14">#REF!</definedName>
    <definedName name="GESTION">#REF!</definedName>
    <definedName name="GGRAL">#REF!</definedName>
    <definedName name="GINCL">#REF!</definedName>
    <definedName name="grafic_aom_remunera">'[4]aom reg'!$AG$61</definedName>
    <definedName name="GRAVE">[5]DadosSeguranc!$G$398:$R$403</definedName>
    <definedName name="Header" localSheetId="10">#REF!</definedName>
    <definedName name="Header" localSheetId="9">#REF!</definedName>
    <definedName name="Header" localSheetId="2">#REF!</definedName>
    <definedName name="Header" localSheetId="5">#REF!</definedName>
    <definedName name="Header" localSheetId="14">#REF!</definedName>
    <definedName name="Header">#REF!</definedName>
    <definedName name="hhhhhhhhhhhh">'[12]#¡REF'!$B$6</definedName>
    <definedName name="HHT" localSheetId="10">'[17]Dados Work'!#REF!</definedName>
    <definedName name="HHT" localSheetId="9">'[17]Dados Work'!#REF!</definedName>
    <definedName name="HHT">'[17]Dados Work'!#REF!</definedName>
    <definedName name="HHTOPER07" localSheetId="10">#REF!</definedName>
    <definedName name="HHTOPER07" localSheetId="9">#REF!</definedName>
    <definedName name="HHTOPER07" localSheetId="2">#REF!</definedName>
    <definedName name="HHTOPER07" localSheetId="5">#REF!</definedName>
    <definedName name="HHTOPER07" localSheetId="14">#REF!</definedName>
    <definedName name="HHTOPER07">#REF!</definedName>
    <definedName name="HHTPER07" localSheetId="2">#REF!</definedName>
    <definedName name="HHTPER07" localSheetId="5">#REF!</definedName>
    <definedName name="HHTPER07" localSheetId="14">#REF!</definedName>
    <definedName name="HHTPER07">#REF!</definedName>
    <definedName name="HHTSUB07" localSheetId="2">#REF!</definedName>
    <definedName name="HHTSUB07" localSheetId="5">#REF!</definedName>
    <definedName name="HHTSUB07" localSheetId="14">#REF!</definedName>
    <definedName name="HHTSUB07">#REF!</definedName>
    <definedName name="hhtunder07">#REF!</definedName>
    <definedName name="hjhjhjh" localSheetId="10" hidden="1">{"'EST.RDOS(INT)'!$A$5:$E$58"}</definedName>
    <definedName name="hjhjhjh" localSheetId="9" hidden="1">{"'EST.RDOS(INT)'!$A$5:$E$58"}</definedName>
    <definedName name="hjhjhjh" localSheetId="2" hidden="1">{"'EST.RDOS(INT)'!$A$5:$E$58"}</definedName>
    <definedName name="hjhjhjh" localSheetId="5" hidden="1">{"'EST.RDOS(INT)'!$A$5:$E$58"}</definedName>
    <definedName name="hjhjhjh" localSheetId="14" hidden="1">{"'EST.RDOS(INT)'!$A$5:$E$58"}</definedName>
    <definedName name="hjhjhjh" hidden="1">{"'EST.RDOS(INT)'!$A$5:$E$58"}</definedName>
    <definedName name="HOJAS">#REF!</definedName>
    <definedName name="hola" hidden="1">#REF!</definedName>
    <definedName name="HONORARIOS">#REF!</definedName>
    <definedName name="hoy">'[10]#¡REF'!$B$1</definedName>
    <definedName name="HTML_CodePage" hidden="1">1252</definedName>
    <definedName name="HTML_Control" localSheetId="10" hidden="1">{"'EST.RDOS(INT)'!$A$5:$E$58"}</definedName>
    <definedName name="HTML_Control" localSheetId="9" hidden="1">{"'EST.RDOS(INT)'!$A$5:$E$58"}</definedName>
    <definedName name="HTML_Control" localSheetId="2" hidden="1">{"'EST.RDOS(INT)'!$A$5:$E$58"}</definedName>
    <definedName name="HTML_Control" localSheetId="5" hidden="1">{"'EST.RDOS(INT)'!$A$5:$E$58"}</definedName>
    <definedName name="HTML_Control" localSheetId="14"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'[6]Dados Faturamento'!$C$92:$N$98</definedName>
    <definedName name="I_ANTERIOR">'[6]Dados Faturamento'!$C$61:$N$67</definedName>
    <definedName name="IA2PR">'[5]Dados Ind Com'!$V$28:$AH$51</definedName>
    <definedName name="IARR">'[5]Dados Ind Com'!$V$54:$AH$77</definedName>
    <definedName name="IARU">'[5]Dados Ind Com'!$V$2:$AH$25</definedName>
    <definedName name="ICMS">'[5]Dados Prod Serv'!$B$14:$N$15</definedName>
    <definedName name="IDIOMA" localSheetId="10">#REF!</definedName>
    <definedName name="IDIOMA" localSheetId="9">#REF!</definedName>
    <definedName name="IDIOMA" localSheetId="2">#REF!</definedName>
    <definedName name="IDIOMA" localSheetId="5">#REF!</definedName>
    <definedName name="IDIOMA" localSheetId="14">#REF!</definedName>
    <definedName name="IDIOMA">#REF!</definedName>
    <definedName name="IFC10MM" localSheetId="2">#REF!</definedName>
    <definedName name="IFC10MM" localSheetId="5">#REF!</definedName>
    <definedName name="IFC10MM" localSheetId="14">#REF!</definedName>
    <definedName name="IFC10MM">#REF!</definedName>
    <definedName name="iiiiiiii">'[12]#¡REF'!$B$6</definedName>
    <definedName name="IM_10MIL">'[6]Dados Faturamento'!$C$71:$N$77</definedName>
    <definedName name="IM_IRC">'[6]Dados Faturamento'!$C$102:$N$108</definedName>
    <definedName name="IMPANO0" localSheetId="10">#REF!</definedName>
    <definedName name="IMPANO0" localSheetId="9">#REF!</definedName>
    <definedName name="IMPANO0" localSheetId="2">#REF!</definedName>
    <definedName name="IMPANO0" localSheetId="5">#REF!</definedName>
    <definedName name="IMPANO0" localSheetId="14">#REF!</definedName>
    <definedName name="IMPANO0">#REF!</definedName>
    <definedName name="impoprto" localSheetId="2">#REF!</definedName>
    <definedName name="impoprto" localSheetId="5">#REF!</definedName>
    <definedName name="impoprto" localSheetId="14">#REF!</definedName>
    <definedName name="impoprto">#REF!</definedName>
    <definedName name="IMPRI" localSheetId="2">#REF!</definedName>
    <definedName name="IMPRI" localSheetId="5">#REF!</definedName>
    <definedName name="IMPRI" localSheetId="14">#REF!</definedName>
    <definedName name="IMPRI">#REF!</definedName>
    <definedName name="Impuestos">'[12]#¡REF'!$B$28</definedName>
    <definedName name="increm_eva">'[15]graf indi'!$J$11</definedName>
    <definedName name="Incremento_mensual_Dev.">'[12]#¡REF'!$B$3</definedName>
    <definedName name="INCSTMT_DETAIL" localSheetId="10">#REF!</definedName>
    <definedName name="INCSTMT_DETAIL" localSheetId="9">#REF!</definedName>
    <definedName name="INCSTMT_DETAIL" localSheetId="2">#REF!</definedName>
    <definedName name="INCSTMT_DETAIL" localSheetId="5">#REF!</definedName>
    <definedName name="INCSTMT_DETAIL" localSheetId="14">#REF!</definedName>
    <definedName name="INCSTMT_DETAIL">#REF!</definedName>
    <definedName name="indi">[18]Datos!$D$129</definedName>
    <definedName name="INDICA" localSheetId="10">#REF!</definedName>
    <definedName name="INDICA" localSheetId="9">#REF!</definedName>
    <definedName name="INDICA" localSheetId="2">#REF!</definedName>
    <definedName name="INDICA" localSheetId="5">#REF!</definedName>
    <definedName name="INDICA" localSheetId="14">#REF!</definedName>
    <definedName name="INDICA">#REF!</definedName>
    <definedName name="INDICADORES">'[12]#¡REF'!$B$31</definedName>
    <definedName name="Indice_Ante">'[6]Dados Faturamento'!$AZ$3</definedName>
    <definedName name="infc" localSheetId="2">'[19]S Gles'!$C$17:$Z$17</definedName>
    <definedName name="infc">'[20]S Gles'!$C$17:$Z$17</definedName>
    <definedName name="ingles" localSheetId="10">#REF!</definedName>
    <definedName name="ingles" localSheetId="9">#REF!</definedName>
    <definedName name="ingles" localSheetId="2">#REF!</definedName>
    <definedName name="ingles" localSheetId="5">#REF!</definedName>
    <definedName name="ingles" localSheetId="14">#REF!</definedName>
    <definedName name="ingles">#REF!</definedName>
    <definedName name="ingregastoconextele" localSheetId="10">'[4]PyG Año 00-01-02'!#REF!</definedName>
    <definedName name="ingregastoconextele" localSheetId="9">'[4]PyG Año 00-01-02'!#REF!</definedName>
    <definedName name="ingregastoconextele" localSheetId="2">'[4]PyG Año 00-01-02'!#REF!</definedName>
    <definedName name="ingregastoconextele" localSheetId="14">'[4]PyG Año 00-01-02'!#REF!</definedName>
    <definedName name="ingregastoconextele">'[4]PyG Año 00-01-02'!#REF!</definedName>
    <definedName name="ingregastoconextrans">'[4]PyG Año 00-01-02'!$A$353</definedName>
    <definedName name="INGREGASTOSTELE">'[4]PyG Año 00-01-02'!$A$269:$H$274</definedName>
    <definedName name="ingresos" localSheetId="10">#REF!</definedName>
    <definedName name="ingresos" localSheetId="9">#REF!</definedName>
    <definedName name="ingresos" localSheetId="2">#REF!</definedName>
    <definedName name="ingresos" localSheetId="5">#REF!</definedName>
    <definedName name="ingresos" localSheetId="14">#REF!</definedName>
    <definedName name="ingresos">#REF!</definedName>
    <definedName name="Ingresos___Disp._Inicial">'[12]#¡REF'!$B$53</definedName>
    <definedName name="Ingresos_Corrientes">'[12]#¡REF'!$B$50</definedName>
    <definedName name="Ingresos_de_Capital">'[12]#¡REF'!$B$51</definedName>
    <definedName name="ingresos_no_ope">'[4]PyG Año 00-01-02'!$A$65:$H$83</definedName>
    <definedName name="Ingresos_no_operacionales">'[12]#¡REF'!$B$20</definedName>
    <definedName name="Ingresos_Operacionales">'[12]#¡REF'!$B$14</definedName>
    <definedName name="INICIO" localSheetId="10">#REF!</definedName>
    <definedName name="INICIO" localSheetId="9">#REF!</definedName>
    <definedName name="INICIO" localSheetId="2">#REF!</definedName>
    <definedName name="INICIO" localSheetId="5">#REF!</definedName>
    <definedName name="INICIO" localSheetId="14">#REF!</definedName>
    <definedName name="INICIO">#REF!</definedName>
    <definedName name="INIDEUDA" localSheetId="2">#REF!</definedName>
    <definedName name="INIDEUDA" localSheetId="5">#REF!</definedName>
    <definedName name="INIDEUDA" localSheetId="14">#REF!</definedName>
    <definedName name="INIDEUDA">#REF!</definedName>
    <definedName name="INPUT1" localSheetId="2">[3]Lista!#REF!</definedName>
    <definedName name="INPUT1" localSheetId="5">[3]Lista!#REF!</definedName>
    <definedName name="INPUT1" localSheetId="14">[3]Lista!#REF!</definedName>
    <definedName name="INPUT1">[3]Lista!#REF!</definedName>
    <definedName name="INPUT2" localSheetId="2">[3]Lista!#REF!</definedName>
    <definedName name="INPUT2" localSheetId="5">[3]Lista!#REF!</definedName>
    <definedName name="INPUT2" localSheetId="14">[3]Lista!#REF!</definedName>
    <definedName name="INPUT2">[3]Lista!#REF!</definedName>
    <definedName name="INPUT3" localSheetId="2">[3]Lista!#REF!</definedName>
    <definedName name="INPUT3" localSheetId="14">[3]Lista!#REF!</definedName>
    <definedName name="INPUT3">[3]Lista!#REF!</definedName>
    <definedName name="INPUT4" localSheetId="2">[3]Lista!#REF!</definedName>
    <definedName name="INPUT4" localSheetId="14">[3]Lista!#REF!</definedName>
    <definedName name="INPUT4">[3]Lista!#REF!</definedName>
    <definedName name="INPUT5">[3]Lista!#REF!</definedName>
    <definedName name="INPUT6">[3]Lista!#REF!</definedName>
    <definedName name="INPUT7">[3]Lista!#REF!</definedName>
    <definedName name="INSP_META">'[6]Dados Perdas'!$C$36:$O$42</definedName>
    <definedName name="INSP_REAL">'[6]Dados Perdas'!$C$26:$O$32</definedName>
    <definedName name="interconexión" localSheetId="10">#REF!</definedName>
    <definedName name="interconexión" localSheetId="9">#REF!</definedName>
    <definedName name="interconexión" localSheetId="2">#REF!</definedName>
    <definedName name="interconexión" localSheetId="5">#REF!</definedName>
    <definedName name="interconexión" localSheetId="14">#REF!</definedName>
    <definedName name="interconexión">#REF!</definedName>
    <definedName name="Intereses">'[12]#¡REF'!$B$22</definedName>
    <definedName name="INVERDEPREMEM">[4]inver2!$A$38</definedName>
    <definedName name="Inversion">'[12]#¡REF'!$B$54</definedName>
    <definedName name="inversioncnd">[4]inver2!$A$31</definedName>
    <definedName name="inversiones">[15]Hoja1!$A$62:$H$77</definedName>
    <definedName name="inversitransporte">[4]inver2!$A$58</definedName>
    <definedName name="invext" localSheetId="10">#REF!</definedName>
    <definedName name="invext" localSheetId="9">#REF!</definedName>
    <definedName name="invext" localSheetId="2">#REF!</definedName>
    <definedName name="invext" localSheetId="5">#REF!</definedName>
    <definedName name="invext" localSheetId="14">#REF!</definedName>
    <definedName name="invext">#REF!</definedName>
    <definedName name="IPP" localSheetId="10">'[12]#¡REF'!#REF!</definedName>
    <definedName name="IPP" localSheetId="9">'[12]#¡REF'!#REF!</definedName>
    <definedName name="IPP" localSheetId="2">'[12]#¡REF'!#REF!</definedName>
    <definedName name="IPP" localSheetId="14">'[12]#¡REF'!#REF!</definedName>
    <definedName name="IPP">'[12]#¡REF'!#REF!</definedName>
    <definedName name="IRREGULAR">'[5]Dados de Ouvidoria'!$D$82:$P$93</definedName>
    <definedName name="ITER" localSheetId="10">#REF!</definedName>
    <definedName name="ITER" localSheetId="9">#REF!</definedName>
    <definedName name="ITER" localSheetId="2">#REF!</definedName>
    <definedName name="ITER" localSheetId="5">#REF!</definedName>
    <definedName name="ITER" localSheetId="14">#REF!</definedName>
    <definedName name="ITER">#REF!</definedName>
    <definedName name="ITER2" localSheetId="2">#REF!</definedName>
    <definedName name="ITER2" localSheetId="5">#REF!</definedName>
    <definedName name="ITER2" localSheetId="14">#REF!</definedName>
    <definedName name="ITER2">#REF!</definedName>
    <definedName name="Janeiro">[5]DadosSeguranc!$E$140:$AB$179</definedName>
    <definedName name="JUL" localSheetId="10">#REF!</definedName>
    <definedName name="JUL" localSheetId="9">#REF!</definedName>
    <definedName name="JUL" localSheetId="2">#REF!</definedName>
    <definedName name="JUL" localSheetId="5">#REF!</definedName>
    <definedName name="JUL" localSheetId="14">#REF!</definedName>
    <definedName name="JUL">#REF!</definedName>
    <definedName name="k" localSheetId="2">#REF!</definedName>
    <definedName name="k" localSheetId="5">#REF!</definedName>
    <definedName name="k" localSheetId="14">#REF!</definedName>
    <definedName name="k">#REF!</definedName>
    <definedName name="KDJFKD" localSheetId="10" hidden="1">{"'EST.RDOS(INT)'!$A$5:$E$58"}</definedName>
    <definedName name="KDJFKD" localSheetId="9" hidden="1">{"'EST.RDOS(INT)'!$A$5:$E$58"}</definedName>
    <definedName name="KDJFKD" localSheetId="2" hidden="1">{"'EST.RDOS(INT)'!$A$5:$E$58"}</definedName>
    <definedName name="KDJFKD" localSheetId="5" hidden="1">{"'EST.RDOS(INT)'!$A$5:$E$58"}</definedName>
    <definedName name="KDJFKD" localSheetId="14" hidden="1">{"'EST.RDOS(INT)'!$A$5:$E$58"}</definedName>
    <definedName name="KDJFKD" hidden="1">{"'EST.RDOS(INT)'!$A$5:$E$58"}</definedName>
    <definedName name="KK">#REF!</definedName>
    <definedName name="KPI_1000DAN">'[6]Otimização Ativos Poste'!$Q$78:$AQ$84</definedName>
    <definedName name="KPI_600DAN">'[6]Otimização Ativos Poste'!$Q$67:$AQ$73</definedName>
    <definedName name="KPI_KVA">'[6]Otimização Ativos Trafo'!$U$74:$AU$80</definedName>
    <definedName name="KPI_KW">'[6]Otimização Ativos Trafo'!$U$63:$AU$69</definedName>
    <definedName name="KPI_POSTE">'[6]Otimização Ativos Poste'!$Q$56:$AQ$62</definedName>
    <definedName name="KPI_TRAFO">'[6]Otimização Ativos Trafo'!$U$52:$AU$58</definedName>
    <definedName name="KPIPERDAS">'[6]F Perdas - KPI DADOS'!$A$21:$N$76</definedName>
    <definedName name="LEASING_1">[12]Hoja1!$A$1:$I$19</definedName>
    <definedName name="LEASING_2">[12]Hoja1!$K$22:$R$43</definedName>
    <definedName name="LETRA" localSheetId="10">#REF!</definedName>
    <definedName name="LETRA" localSheetId="9">#REF!</definedName>
    <definedName name="LETRA" localSheetId="2">#REF!</definedName>
    <definedName name="LETRA" localSheetId="5">#REF!</definedName>
    <definedName name="LETRA" localSheetId="14">#REF!</definedName>
    <definedName name="LETRA">#REF!</definedName>
    <definedName name="LETRAS" localSheetId="2">#REF!</definedName>
    <definedName name="LETRAS" localSheetId="5">#REF!</definedName>
    <definedName name="LETRAS" localSheetId="14">#REF!</definedName>
    <definedName name="LETRAS">#REF!</definedName>
    <definedName name="LEVE">[5]DadosSeguranc!$G$406:$R$411</definedName>
    <definedName name="libo1" localSheetId="10">#REF!</definedName>
    <definedName name="libo1" localSheetId="9">#REF!</definedName>
    <definedName name="libo1" localSheetId="2">#REF!</definedName>
    <definedName name="libo1" localSheetId="5">#REF!</definedName>
    <definedName name="libo1" localSheetId="14">#REF!</definedName>
    <definedName name="libo1">#REF!</definedName>
    <definedName name="libor" localSheetId="2">#REF!</definedName>
    <definedName name="libor" localSheetId="5">#REF!</definedName>
    <definedName name="libor" localSheetId="14">#REF!</definedName>
    <definedName name="libor">#REF!</definedName>
    <definedName name="LIGINF">[5]Dados_Perdas!$C$64:$O$75</definedName>
    <definedName name="LOJAS">'[5]Dados das Lojas'!$D$2:$P$91</definedName>
    <definedName name="luzma" localSheetId="10" hidden="1">{"'EST.RDOS(INT)'!$A$5:$E$58"}</definedName>
    <definedName name="luzma" localSheetId="9" hidden="1">{"'EST.RDOS(INT)'!$A$5:$E$58"}</definedName>
    <definedName name="luzma" localSheetId="2" hidden="1">{"'EST.RDOS(INT)'!$A$5:$E$58"}</definedName>
    <definedName name="luzma" localSheetId="5" hidden="1">{"'EST.RDOS(INT)'!$A$5:$E$58"}</definedName>
    <definedName name="luzma" localSheetId="14" hidden="1">{"'EST.RDOS(INT)'!$A$5:$E$58"}</definedName>
    <definedName name="luzma" hidden="1">{"'EST.RDOS(INT)'!$A$5:$E$58"}</definedName>
    <definedName name="MACRO">#REF!</definedName>
    <definedName name="MAIN">#REF!</definedName>
    <definedName name="MANO">'[5]Dados DEC e FEC'!$G$160:$H$223</definedName>
    <definedName name="MAR" localSheetId="10">#REF!</definedName>
    <definedName name="MAR" localSheetId="9">#REF!</definedName>
    <definedName name="MAR" localSheetId="2">#REF!</definedName>
    <definedName name="MAR" localSheetId="5">#REF!</definedName>
    <definedName name="MAR" localSheetId="14">#REF!</definedName>
    <definedName name="MAR">#REF!</definedName>
    <definedName name="MARGENOPEMEM">'[4]PyG Año 00-01-02'!$A$336</definedName>
    <definedName name="MATERIAL" localSheetId="10">#REF!</definedName>
    <definedName name="MATERIAL" localSheetId="9">#REF!</definedName>
    <definedName name="MATERIAL" localSheetId="2">#REF!</definedName>
    <definedName name="MATERIAL" localSheetId="5">#REF!</definedName>
    <definedName name="MATERIAL" localSheetId="14">#REF!</definedName>
    <definedName name="MATERIAL">#REF!</definedName>
    <definedName name="Max_Cod">[8]Postes!$J$1</definedName>
    <definedName name="mayo" localSheetId="10">#REF!</definedName>
    <definedName name="mayo" localSheetId="9">#REF!</definedName>
    <definedName name="mayo" localSheetId="2">#REF!</definedName>
    <definedName name="mayo" localSheetId="5">#REF!</definedName>
    <definedName name="mayo" localSheetId="14">#REF!</definedName>
    <definedName name="mayo">#REF!</definedName>
    <definedName name="ME" localSheetId="2">#REF!</definedName>
    <definedName name="ME" localSheetId="5">#REF!</definedName>
    <definedName name="ME" localSheetId="14">#REF!</definedName>
    <definedName name="ME">#REF!</definedName>
    <definedName name="MEM" localSheetId="2">#REF!</definedName>
    <definedName name="MEM" localSheetId="5">#REF!</definedName>
    <definedName name="MEM" localSheetId="14">#REF!</definedName>
    <definedName name="MEM">#REF!</definedName>
    <definedName name="mes">#REF!</definedName>
    <definedName name="MESESL">#REF!</definedName>
    <definedName name="Meta_">'[6]Dados Faturamento'!$BA$3</definedName>
    <definedName name="META_ABR">'[6]Dados Faturamento'!$C$112:$N$118</definedName>
    <definedName name="META_REFAT">'[6]Dados Faturamento'!$C$82:$N$88</definedName>
    <definedName name="Metas_Perdas">'[6]Dados Perdas RAA'!$B$63:$D$69</definedName>
    <definedName name="METASLOJAS">'[5]Dados das Lojas'!$D$94:$P$108</definedName>
    <definedName name="Metaswork">'[6]Dados Work M'!$AC$5:$AN$8</definedName>
    <definedName name="mgm" localSheetId="10" hidden="1">{"'EST.RDOS(INT)'!$A$5:$E$58"}</definedName>
    <definedName name="mgm" localSheetId="9" hidden="1">{"'EST.RDOS(INT)'!$A$5:$E$58"}</definedName>
    <definedName name="mgm" localSheetId="2" hidden="1">{"'EST.RDOS(INT)'!$A$5:$E$58"}</definedName>
    <definedName name="mgm" localSheetId="5" hidden="1">{"'EST.RDOS(INT)'!$A$5:$E$58"}</definedName>
    <definedName name="mgm" localSheetId="14" hidden="1">{"'EST.RDOS(INT)'!$A$5:$E$58"}</definedName>
    <definedName name="mgm" hidden="1">{"'EST.RDOS(INT)'!$A$5:$E$58"}</definedName>
    <definedName name="MINI">#REF!</definedName>
    <definedName name="ML">#REF!</definedName>
    <definedName name="MONEDA">#REF!</definedName>
    <definedName name="MWORK">'[17]Dados Work'!#REF!</definedName>
    <definedName name="NCD">'[6]Estatisticas do Planejamento'!$A$56:$H$75</definedName>
    <definedName name="Necessidades">'[6]Estatisticas do Planejamento'!$A$56:$H$75</definedName>
    <definedName name="NG_D">[14]ANALITICO!$S$1:$S$65536</definedName>
    <definedName name="nombrehoja" localSheetId="10">#REF!</definedName>
    <definedName name="nombrehoja" localSheetId="9">#REF!</definedName>
    <definedName name="nombrehoja" localSheetId="2">#REF!</definedName>
    <definedName name="nombrehoja" localSheetId="5">#REF!</definedName>
    <definedName name="nombrehoja" localSheetId="14">#REF!</definedName>
    <definedName name="nombrehoja">#REF!</definedName>
    <definedName name="NPROG">[6]Cálculos_DM!$B$52:$O$59</definedName>
    <definedName name="NR_ABC">'[6]Dados Clandestina'!$D$54:$P$56</definedName>
    <definedName name="NR_ACUM">'[6]Dados Clandestina'!$D$79:$J$81</definedName>
    <definedName name="NR_ANHEMBI">'[6]Dados Clandestina'!$D$39:$P$41</definedName>
    <definedName name="NR_CENTRO">'[6]Dados Clandestina'!$D$44:$P$46</definedName>
    <definedName name="NR_ELPA">'[6]Dados Clandestina'!$D$24:$P$26</definedName>
    <definedName name="NR_LESTE">'[6]Dados Clandestina'!$D$49:$P$51</definedName>
    <definedName name="NR_OESTE">'[6]Dados Clandestina'!$D$29:$P$31</definedName>
    <definedName name="NR_SUL">'[6]Dados Clandestina'!$D$34:$P$36</definedName>
    <definedName name="nuevas_financiaciones">'[15]graf indi'!$A$2:$E$10</definedName>
    <definedName name="NUEVAS_OBLIGACIONES_FINANCIERAS">'[12]#¡REF'!$B$40</definedName>
    <definedName name="NUEVO" localSheetId="10">#REF!</definedName>
    <definedName name="NUEVO" localSheetId="9">#REF!</definedName>
    <definedName name="NUEVO" localSheetId="2">#REF!</definedName>
    <definedName name="NUEVO" localSheetId="5">#REF!</definedName>
    <definedName name="NUEVO" localSheetId="14">#REF!</definedName>
    <definedName name="NUEVO">#REF!</definedName>
    <definedName name="Nuevo_Financiamiento">'[12]#¡REF'!$B$59</definedName>
    <definedName name="nUnidad" localSheetId="10">[21]Datos!#REF!</definedName>
    <definedName name="nUnidad" localSheetId="9">[21]Datos!#REF!</definedName>
    <definedName name="nUnidad" localSheetId="2">[22]Datos!#REF!</definedName>
    <definedName name="nUnidad" localSheetId="14">[21]Datos!#REF!</definedName>
    <definedName name="nUnidad">[21]Datos!#REF!</definedName>
    <definedName name="ññ" localSheetId="10" hidden="1">{"'EST.RDOS(INT)'!$A$5:$E$58"}</definedName>
    <definedName name="ññ" localSheetId="9" hidden="1">{"'EST.RDOS(INT)'!$A$5:$E$58"}</definedName>
    <definedName name="ññ" localSheetId="2" hidden="1">{"'EST.RDOS(INT)'!$A$5:$E$58"}</definedName>
    <definedName name="ññ" localSheetId="5" hidden="1">{"'EST.RDOS(INT)'!$A$5:$E$58"}</definedName>
    <definedName name="ññ" localSheetId="14"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'[4]PyG Año 00-01-02'!#REF!</definedName>
    <definedName name="Otros_Gastos">'[12]#¡REF'!$B$24</definedName>
    <definedName name="Otros_gastos_generales" localSheetId="10">#REF!</definedName>
    <definedName name="Otros_gastos_generales" localSheetId="9">#REF!</definedName>
    <definedName name="Otros_gastos_generales" localSheetId="2">#REF!</definedName>
    <definedName name="Otros_gastos_generales" localSheetId="5">#REF!</definedName>
    <definedName name="Otros_gastos_generales" localSheetId="14">#REF!</definedName>
    <definedName name="Otros_gastos_generales">#REF!</definedName>
    <definedName name="otroslp" localSheetId="2">#REF!</definedName>
    <definedName name="otroslp" localSheetId="5">#REF!</definedName>
    <definedName name="otroslp" localSheetId="14">#REF!</definedName>
    <definedName name="otroslp">#REF!</definedName>
    <definedName name="OUTPUT" localSheetId="2">#REF!</definedName>
    <definedName name="OUTPUT" localSheetId="5">#REF!</definedName>
    <definedName name="OUTPUT" localSheetId="14">#REF!</definedName>
    <definedName name="OUTPUT">#REF!</definedName>
    <definedName name="OUTPUTE">#REF!</definedName>
    <definedName name="OUTPUTPR">#REF!</definedName>
    <definedName name="OUTRAS">#REF!</definedName>
    <definedName name="OUTROSKPIS">[5]Dados_Perdas!$C$117:$O$140</definedName>
    <definedName name="P_23" localSheetId="10">#REF!</definedName>
    <definedName name="P_23" localSheetId="9">#REF!</definedName>
    <definedName name="P_23" localSheetId="2">#REF!</definedName>
    <definedName name="P_23" localSheetId="5">#REF!</definedName>
    <definedName name="P_23" localSheetId="14">#REF!</definedName>
    <definedName name="P_23">#REF!</definedName>
    <definedName name="P_35" localSheetId="2">#REF!</definedName>
    <definedName name="P_35" localSheetId="5">#REF!</definedName>
    <definedName name="P_35" localSheetId="14">#REF!</definedName>
    <definedName name="P_35">#REF!</definedName>
    <definedName name="P_36" localSheetId="2">#REF!</definedName>
    <definedName name="P_36" localSheetId="5">#REF!</definedName>
    <definedName name="P_36" localSheetId="14">#REF!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[5]Dados_Perdas!$C$33:$O$44</definedName>
    <definedName name="Participación_Ciudadana">'[12]#¡REF'!$B$52</definedName>
    <definedName name="Participación_Subordinadas">'[12]#¡REF'!$B$21</definedName>
    <definedName name="PCLD">'[6]Dados Inadimplência'!$V$55:$AH$61</definedName>
    <definedName name="PCLDCOM">'[5]Dados Inadimplência'!$C$3:$N$22</definedName>
    <definedName name="PCLDMETA">'[6]Dados Inadimplência'!$V$76:$AH$82</definedName>
    <definedName name="PCLDSEM">'[5]Dados Inadimplência'!$C$26:$N$45</definedName>
    <definedName name="PER">[7]ELEGIR!$B$19</definedName>
    <definedName name="Perdas_FBH">'[6]Dados Perdas e BH'!$A$8:$N$14</definedName>
    <definedName name="Perdas_FBH_Metas">'[6]Dados Perdas e BH'!$A$19:$N$25</definedName>
    <definedName name="personal">'[4]aom reg'!$W$13:$AE$19</definedName>
    <definedName name="personalcnd">'[4]aom reg'!$W$118</definedName>
    <definedName name="PICA" localSheetId="10">#REF!</definedName>
    <definedName name="PICA" localSheetId="9">#REF!</definedName>
    <definedName name="PICA" localSheetId="2">#REF!</definedName>
    <definedName name="PICA" localSheetId="5">#REF!</definedName>
    <definedName name="PICA" localSheetId="14">#REF!</definedName>
    <definedName name="PICA">#REF!</definedName>
    <definedName name="PICA1" localSheetId="2">#REF!</definedName>
    <definedName name="PICA1" localSheetId="5">#REF!</definedName>
    <definedName name="PICA1" localSheetId="14">#REF!</definedName>
    <definedName name="PICA1">#REF!</definedName>
    <definedName name="PLA">'[6]Estatisticas do Planejamento'!$A$34:$H$53</definedName>
    <definedName name="Plan_Rel_Capex">'[6]Dados de relacionamento'!$B$30:$O$37</definedName>
    <definedName name="Plan_Rel_Opex">'[6]Dados de relacionamento'!$B$21:$O$28</definedName>
    <definedName name="Planejado">'[23]Dados de relacionamento'!$B$15:$M$22</definedName>
    <definedName name="PM_ABC">'[6]Plano de Manutenção'!$X$92:$AD$119</definedName>
    <definedName name="PM_ANHEMBI">'[6]Plano de Manutenção'!$X$122:$AD$149</definedName>
    <definedName name="PM_CENTRO">'[6]Plano de Manutenção'!$X$152:$AD$179</definedName>
    <definedName name="PM_ELPA">'[6]Plano de Manutenção'!$X$272:$AD$299</definedName>
    <definedName name="PM_LESTE">'[6]Plano de Manutenção'!$X$182:$AD$209</definedName>
    <definedName name="PM_OESTE">'[6]Plano de Manutenção'!$X$212:$AD$239</definedName>
    <definedName name="PM_SUL">'[6]Plano de Manutenção'!$X$242:$AD$269</definedName>
    <definedName name="PONTOCONEX">'[5]Dados Must'!$C$4:$N$22</definedName>
    <definedName name="PORDIV" localSheetId="10">#REF!</definedName>
    <definedName name="PORDIV" localSheetId="9">#REF!</definedName>
    <definedName name="PORDIV" localSheetId="2">#REF!</definedName>
    <definedName name="PORDIV" localSheetId="5">#REF!</definedName>
    <definedName name="PORDIV" localSheetId="14">#REF!</definedName>
    <definedName name="PORDIV">#REF!</definedName>
    <definedName name="PPPP" localSheetId="2">#REF!</definedName>
    <definedName name="PPPP" localSheetId="5">#REF!</definedName>
    <definedName name="PPPP" localSheetId="14">#REF!</definedName>
    <definedName name="PPPP">#REF!</definedName>
    <definedName name="PR_AC">'[6]Dados Segurança'!$B$60:$I$64</definedName>
    <definedName name="PR_LM">'[6]Dados Segurança'!$B$53:$I$57</definedName>
    <definedName name="Prepago_Deuda">'[12]#¡REF'!$B$8</definedName>
    <definedName name="PREST" localSheetId="10">#REF!</definedName>
    <definedName name="PREST" localSheetId="9">#REF!</definedName>
    <definedName name="PREST" localSheetId="2">#REF!</definedName>
    <definedName name="PREST" localSheetId="5">#REF!</definedName>
    <definedName name="PREST" localSheetId="14">#REF!</definedName>
    <definedName name="PREST">#REF!</definedName>
    <definedName name="PRESTTOT" localSheetId="2">#REF!</definedName>
    <definedName name="PRESTTOT" localSheetId="5">#REF!</definedName>
    <definedName name="PRESTTOT" localSheetId="14">#REF!</definedName>
    <definedName name="PRESTTOT">#REF!</definedName>
    <definedName name="Prima_o_subsidio_de_alimentación" localSheetId="2">#REF!</definedName>
    <definedName name="Prima_o_subsidio_de_alimentación" localSheetId="5">#REF!</definedName>
    <definedName name="Prima_o_subsidio_de_alimentación" localSheetId="14">#REF!</definedName>
    <definedName name="Prima_o_subsidio_de_alimentación">#REF!</definedName>
    <definedName name="Print_Area_MI">#REF!</definedName>
    <definedName name="PROATIVPC">[5]DadosSeguranc!$D$324:$AC$365</definedName>
    <definedName name="PROATIVPP">[5]DadosSeguranc!$D$278:$AC$319</definedName>
    <definedName name="Procon">'[6]Dados Ouvidoria II'!$C$60:$O$66</definedName>
    <definedName name="PRODAT">'[5]Dados Prod Serv'!$B$9:$N$10</definedName>
    <definedName name="PRODBT">'[5]Dados Prod Serv'!$B$3:$N$4</definedName>
    <definedName name="PROG">[6]Cálculos_DM!$B$42:$O$49</definedName>
    <definedName name="prospfyu" localSheetId="10">#REF!</definedName>
    <definedName name="prospfyu" localSheetId="9">#REF!</definedName>
    <definedName name="prospfyu" localSheetId="2">#REF!</definedName>
    <definedName name="prospfyu" localSheetId="5">#REF!</definedName>
    <definedName name="prospfyu" localSheetId="14">#REF!</definedName>
    <definedName name="prospfyu">#REF!</definedName>
    <definedName name="prospindic" localSheetId="2">#REF!</definedName>
    <definedName name="prospindic" localSheetId="5">#REF!</definedName>
    <definedName name="prospindic" localSheetId="14">#REF!</definedName>
    <definedName name="prospindic">#REF!</definedName>
    <definedName name="Provisiones">'[12]#¡REF'!$B$18</definedName>
    <definedName name="PROYC" localSheetId="10">#REF!</definedName>
    <definedName name="PROYC" localSheetId="9">#REF!</definedName>
    <definedName name="PROYC" localSheetId="2">#REF!</definedName>
    <definedName name="PROYC" localSheetId="5">#REF!</definedName>
    <definedName name="PROYC" localSheetId="14">#REF!</definedName>
    <definedName name="PROYC">#REF!</definedName>
    <definedName name="PUBLICO">'[6]Dados Segurança'!$B$80:$I$82</definedName>
    <definedName name="q" localSheetId="10">[24]Hoja1!#REF!</definedName>
    <definedName name="q" localSheetId="9">[24]Hoja1!#REF!</definedName>
    <definedName name="q" localSheetId="2">[25]Hoja1!#REF!</definedName>
    <definedName name="q" localSheetId="14">[24]Hoja1!#REF!</definedName>
    <definedName name="q">[24]Hoja1!#REF!</definedName>
    <definedName name="qq" localSheetId="10" hidden="1">#REF!</definedName>
    <definedName name="qq" localSheetId="9" hidden="1">#REF!</definedName>
    <definedName name="qq" localSheetId="2" hidden="1">#REF!</definedName>
    <definedName name="qq" localSheetId="5" hidden="1">#REF!</definedName>
    <definedName name="qq" localSheetId="14" hidden="1">#REF!</definedName>
    <definedName name="qq" hidden="1">#REF!</definedName>
    <definedName name="qryActivs_USDxUnidadesConstructivas" localSheetId="2">#REF!</definedName>
    <definedName name="qryActivs_USDxUnidadesConstructivas" localSheetId="5">#REF!</definedName>
    <definedName name="qryActivs_USDxUnidadesConstructivas" localSheetId="14">#REF!</definedName>
    <definedName name="qryActivs_USDxUnidadesConstructivas">#REF!</definedName>
    <definedName name="qryVentasxOficina" localSheetId="2">#REF!</definedName>
    <definedName name="qryVentasxOficina" localSheetId="5">#REF!</definedName>
    <definedName name="qryVentasxOficina" localSheetId="14">#REF!</definedName>
    <definedName name="qryVentasxOficina">#REF!</definedName>
    <definedName name="rangosub">#REF!</definedName>
    <definedName name="RawData">#REF!</definedName>
    <definedName name="Realizado">'[23]Dados de relacionamento'!$B$25:$M$32</definedName>
    <definedName name="RECAUDO">'[12]#¡REF'!$B$45</definedName>
    <definedName name="recaudo_cartera">[4]Gráficas!$A$61:$H$64</definedName>
    <definedName name="Reclamacao">'[11]REFAT_GRUPO-B_ELPA'!$AW$3</definedName>
    <definedName name="RECLAMADO">'[6]Dados Faturamento'!$C$51:$N$57</definedName>
    <definedName name="Ref_Ano">'[6]Dados Faturamento'!$AV$11</definedName>
    <definedName name="Ref_Qtd_Fat">'[6]Dados Faturamento'!$AU$3</definedName>
    <definedName name="Ref_Qtd_Ree">'[6]Dados Faturamento'!$AV$3</definedName>
    <definedName name="Ref_Qtde_ConInt">'[6]Dados Faturamento'!$AY$3</definedName>
    <definedName name="Ref_Unidades">'[6]Dados Faturamento'!$AZ$14</definedName>
    <definedName name="referenc_margen_ebitda">'[4]PyG Año 00-01-02'!$A$278</definedName>
    <definedName name="REITERADAS">'[5]Dados de Ouvidoria'!$D$18:$P$31</definedName>
    <definedName name="REJE_RELIG">'[6]Indicadores Associados (2)'!$AI$19:$AV$46</definedName>
    <definedName name="RELACION_GASTOS_A.O.M" localSheetId="10">'[12]#¡REF'!#REF!</definedName>
    <definedName name="RELACION_GASTOS_A.O.M" localSheetId="9">'[12]#¡REF'!#REF!</definedName>
    <definedName name="RELACION_GASTOS_A.O.M">'[12]#¡REF'!#REF!</definedName>
    <definedName name="RELACION_GASTOS_A.O.M___STE">'[12]#¡REF'!$B$34</definedName>
    <definedName name="RELACION_GASTOS_A.O.M_TOTAL" localSheetId="10">'[12]#¡REF'!#REF!</definedName>
    <definedName name="RELACION_GASTOS_A.O.M_TOTAL" localSheetId="9">'[12]#¡REF'!#REF!</definedName>
    <definedName name="RELACION_GASTOS_A.O.M_TOTAL">'[12]#¡REF'!#REF!</definedName>
    <definedName name="remuneracicndmem">'[4]aom reg'!$B$23</definedName>
    <definedName name="ren" localSheetId="10">#REF!</definedName>
    <definedName name="ren" localSheetId="9">#REF!</definedName>
    <definedName name="ren" localSheetId="2">#REF!</definedName>
    <definedName name="ren" localSheetId="5">#REF!</definedName>
    <definedName name="ren" localSheetId="14">#REF!</definedName>
    <definedName name="ren">#REF!</definedName>
    <definedName name="rent" localSheetId="2">#REF!</definedName>
    <definedName name="rent" localSheetId="5">#REF!</definedName>
    <definedName name="rent" localSheetId="14">#REF!</definedName>
    <definedName name="rent">#REF!</definedName>
    <definedName name="rentafactores" localSheetId="2">#REF!</definedName>
    <definedName name="rentafactores" localSheetId="5">#REF!</definedName>
    <definedName name="rentafactores" localSheetId="14">#REF!</definedName>
    <definedName name="rentafactores">#REF!</definedName>
    <definedName name="RENTAL">#REF!</definedName>
    <definedName name="REP">#REF!</definedName>
    <definedName name="rep_Saldo_Bloqueado_Titulos">'[26]rep_Saldo Bloqueado'!$D$1:$H$1</definedName>
    <definedName name="rep_Saldo_Bloqueado_Tudo">'[26]rep_Saldo Bloqueado'!$D$1:$H$159</definedName>
    <definedName name="REPDIV" localSheetId="10">#REF!</definedName>
    <definedName name="REPDIV" localSheetId="9">#REF!</definedName>
    <definedName name="REPDIV" localSheetId="2">#REF!</definedName>
    <definedName name="REPDIV" localSheetId="5">#REF!</definedName>
    <definedName name="REPDIV" localSheetId="14">#REF!</definedName>
    <definedName name="REPDIV">#REF!</definedName>
    <definedName name="REPOCALC" localSheetId="2">#REF!</definedName>
    <definedName name="REPOCALC" localSheetId="5">#REF!</definedName>
    <definedName name="REPOCALC" localSheetId="14">#REF!</definedName>
    <definedName name="REPOCALC">#REF!</definedName>
    <definedName name="REPOPRO" localSheetId="2">#REF!</definedName>
    <definedName name="REPOPRO" localSheetId="5">#REF!</definedName>
    <definedName name="REPOPRO" localSheetId="14">#REF!</definedName>
    <definedName name="REPOPRO">#REF!</definedName>
    <definedName name="REPSUB">#REF!</definedName>
    <definedName name="requeri_de_efecti">'[15]graf indi'!$J$73</definedName>
    <definedName name="RESBCE" localSheetId="10">#REF!</definedName>
    <definedName name="RESBCE" localSheetId="9">#REF!</definedName>
    <definedName name="RESBCE" localSheetId="2">#REF!</definedName>
    <definedName name="RESBCE" localSheetId="5">#REF!</definedName>
    <definedName name="RESBCE" localSheetId="14">#REF!</definedName>
    <definedName name="RESBCE">#REF!</definedName>
    <definedName name="RESFYU" localSheetId="2">#REF!</definedName>
    <definedName name="RESFYU" localSheetId="5">#REF!</definedName>
    <definedName name="RESFYU" localSheetId="14">#REF!</definedName>
    <definedName name="RESFYU">#REF!</definedName>
    <definedName name="RESPYG" localSheetId="2">#REF!</definedName>
    <definedName name="RESPYG" localSheetId="5">#REF!</definedName>
    <definedName name="RESPYG" localSheetId="14">#REF!</definedName>
    <definedName name="RESPYG">#REF!</definedName>
    <definedName name="RESREL">#REF!</definedName>
    <definedName name="Resultado_no_operacional">'[12]#¡REF'!$B$25</definedName>
    <definedName name="Resumen" localSheetId="10" hidden="1">#REF!</definedName>
    <definedName name="Resumen" localSheetId="9" hidden="1">#REF!</definedName>
    <definedName name="Resumen" localSheetId="2" hidden="1">#REF!</definedName>
    <definedName name="Resumen" localSheetId="5" hidden="1">#REF!</definedName>
    <definedName name="Resumen" localSheetId="14" hidden="1">#REF!</definedName>
    <definedName name="Resumen" hidden="1">#REF!</definedName>
    <definedName name="Resumen_por_Gerencia" localSheetId="2">#REF!</definedName>
    <definedName name="Resumen_por_Gerencia" localSheetId="5">#REF!</definedName>
    <definedName name="Resumen_por_Gerencia" localSheetId="14">#REF!</definedName>
    <definedName name="Resumen_por_Gerencia">#REF!</definedName>
    <definedName name="Resumen_PyG" localSheetId="2">#REF!</definedName>
    <definedName name="Resumen_PyG" localSheetId="5">#REF!</definedName>
    <definedName name="Resumen_PyG" localSheetId="14">#REF!</definedName>
    <definedName name="Resumen_PyG">#REF!</definedName>
    <definedName name="Resumen_Total">#REF!</definedName>
    <definedName name="RESUMO" localSheetId="2">'[27]NGs. BANCO DADOS'!#REF!</definedName>
    <definedName name="RESUMO">'[28]NGs. BANCO DADOS'!#REF!</definedName>
    <definedName name="RESUMO_GERAL" localSheetId="10">#REF!</definedName>
    <definedName name="RESUMO_GERAL" localSheetId="9">#REF!</definedName>
    <definedName name="RESUMO_GERAL" localSheetId="2">#REF!</definedName>
    <definedName name="RESUMO_GERAL" localSheetId="5">#REF!</definedName>
    <definedName name="RESUMO_GERAL" localSheetId="14">#REF!</definedName>
    <definedName name="RESUMO_GERAL">#REF!</definedName>
    <definedName name="Retroativa">'[6]Dados Perdas RAA'!$A$9:$N$15</definedName>
    <definedName name="Retroativa_Meta">'[6]Dados Perdas RAA'!$A$87:$N$93</definedName>
    <definedName name="RFP" localSheetId="10">#REF!</definedName>
    <definedName name="RFP" localSheetId="9">#REF!</definedName>
    <definedName name="RFP" localSheetId="2">#REF!</definedName>
    <definedName name="RFP" localSheetId="5">#REF!</definedName>
    <definedName name="RFP" localSheetId="14">#REF!</definedName>
    <definedName name="RFP">#REF!</definedName>
    <definedName name="RFPC" localSheetId="2">#REF!</definedName>
    <definedName name="RFPC" localSheetId="5">#REF!</definedName>
    <definedName name="RFPC" localSheetId="14">#REF!</definedName>
    <definedName name="RFPC">#REF!</definedName>
    <definedName name="RFTITLE" localSheetId="2">#REF!</definedName>
    <definedName name="RFTITLE" localSheetId="5">#REF!</definedName>
    <definedName name="RFTITLE" localSheetId="14">#REF!</definedName>
    <definedName name="RFTITLE">#REF!</definedName>
    <definedName name="RTRETERTERTERTERT">#REF!</definedName>
    <definedName name="RU">'[6]Indicadores Associados (2)'!$C$19:$P$46</definedName>
    <definedName name="Saldo">'[12]#¡REF'!$B$9</definedName>
    <definedName name="Saldo_Bloqueado_Ano" localSheetId="10">[29]Dados_Saldo_Bloq!#REF!</definedName>
    <definedName name="Saldo_Bloqueado_Ano" localSheetId="9">[29]Dados_Saldo_Bloq!#REF!</definedName>
    <definedName name="Saldo_Bloqueado_Ano">[29]Dados_Saldo_Bloq!#REF!</definedName>
    <definedName name="Saldo_Bloqueado_Bloqueado_Contas" localSheetId="10">[29]Dados_Saldo_Bloq!#REF!</definedName>
    <definedName name="Saldo_Bloqueado_Bloqueado_Contas" localSheetId="9">[29]Dados_Saldo_Bloq!#REF!</definedName>
    <definedName name="Saldo_Bloqueado_Bloqueado_Contas">[29]Dados_Saldo_Bloq!#REF!</definedName>
    <definedName name="Saldo_Bloqueado_Bloqueado_Valor">[29]Dados_Saldo_Bloq!#REF!</definedName>
    <definedName name="Saldo_Bloqueado_Mes">[29]Dados_Saldo_Bloq!#REF!</definedName>
    <definedName name="Saldo_Bloqueado_Unidade_Anhembi">[29]Dados_Saldo_Bloq!#REF!</definedName>
    <definedName name="Saldo_Bloqueado_Unidade_Centro">[29]Dados_Saldo_Bloq!#REF!</definedName>
    <definedName name="Saldo_Bloqueado_Unidade_Grande_ABC">[29]Dados_Saldo_Bloq!#REF!</definedName>
    <definedName name="Saldo_Bloqueado_Unidade_Oeste">[29]Dados_Saldo_Bloq!#REF!</definedName>
    <definedName name="Saldo_Bloqueado_Unidade_Portal_Leste_Trabalhadores">[29]Dados_Saldo_Bloq!#REF!</definedName>
    <definedName name="Saldo_Bloqueado_Unidade_Sao_Paulo">[29]Dados_Saldo_Bloq!#REF!</definedName>
    <definedName name="Saldo_Inicial">'[12]#¡REF'!$B$49</definedName>
    <definedName name="saldodeuda" localSheetId="10">#REF!</definedName>
    <definedName name="saldodeuda" localSheetId="9">#REF!</definedName>
    <definedName name="saldodeuda" localSheetId="2">#REF!</definedName>
    <definedName name="saldodeuda" localSheetId="5">#REF!</definedName>
    <definedName name="saldodeuda" localSheetId="14">#REF!</definedName>
    <definedName name="saldodeuda">#REF!</definedName>
    <definedName name="sasasas" localSheetId="2">#REF!</definedName>
    <definedName name="sasasas" localSheetId="5">#REF!</definedName>
    <definedName name="sasasas" localSheetId="14">#REF!</definedName>
    <definedName name="sasasas">#REF!</definedName>
    <definedName name="SCREEN" localSheetId="2">#REF!</definedName>
    <definedName name="SCREEN" localSheetId="5">#REF!</definedName>
    <definedName name="SCREEN" localSheetId="14">#REF!</definedName>
    <definedName name="SCREEN">#REF!</definedName>
    <definedName name="SDSDSDSD">#REF!</definedName>
    <definedName name="SEG_CONTR">'[6]Dados Segurança'!$A$39:$Q$44</definedName>
    <definedName name="SEG_PED">'[6]Indicadores Associados (2)'!$S$19:$AF$46</definedName>
    <definedName name="Seg_Pedidor_05">'[6]2º 3º pedidos'!$D$33:$P$39</definedName>
    <definedName name="Seg_Pedidos_04">'[6]2º 3º pedidos'!$D$24:$P$30</definedName>
    <definedName name="SEG_PROP">'[6]Dados Segurança'!$A$32:$Q$37</definedName>
    <definedName name="SEG_PUBL">'[6]Dados Segurança'!$A$46:$Q$49</definedName>
    <definedName name="SEGACPP">[5]DadosSeguranc!$C$140:$AB$183</definedName>
    <definedName name="SEGDIST">[5]DadosSeguranc!$C$139:$AB$179</definedName>
    <definedName name="SEGNATCR">[5]DadosSeguranc!$B$234:$CN$257</definedName>
    <definedName name="SEGNATPR">[5]DadosSeguranc!$B$207:$CN$230</definedName>
    <definedName name="SEGPC">[5]DadosSeguranc!$AF$140:$BE$183</definedName>
    <definedName name="SEGPED">'[5]Dados Call Center'!$C$2:$O$19</definedName>
    <definedName name="SEGPUBL">[5]DadosSeguranc!$B$376:$CA$379</definedName>
    <definedName name="SEGPUBLTIPO">[5]DadosSeguranc!$B$418:$CA$438</definedName>
    <definedName name="SEGTRESPED">'[5]Dados de Ouvidoria'!$D$34:$P$51</definedName>
    <definedName name="SEGUROS_GG" localSheetId="10">#REF!</definedName>
    <definedName name="SEGUROS_GG" localSheetId="9">#REF!</definedName>
    <definedName name="SEGUROS_GG" localSheetId="2">#REF!</definedName>
    <definedName name="SEGUROS_GG" localSheetId="5">#REF!</definedName>
    <definedName name="SEGUROS_GG" localSheetId="14">#REF!</definedName>
    <definedName name="SEGUROS_GG">#REF!</definedName>
    <definedName name="sensibilidad_deval">'[10]#¡REF'!$C$67:$S$75</definedName>
    <definedName name="sensibilidad_ipc">'[10]#¡REF'!$C$67:$L$71</definedName>
    <definedName name="SENSIBILIDADES" localSheetId="10">#REF!</definedName>
    <definedName name="SENSIBILIDADES" localSheetId="9">#REF!</definedName>
    <definedName name="SENSIBILIDADES" localSheetId="2">#REF!</definedName>
    <definedName name="SENSIBILIDADES" localSheetId="5">#REF!</definedName>
    <definedName name="SENSIBILIDADES" localSheetId="14">#REF!</definedName>
    <definedName name="SENSIBILIDADES">#REF!</definedName>
    <definedName name="Servicio_de_la_Deuda">'[12]#¡REF'!$B$55</definedName>
    <definedName name="SERVICIOS_PERSONALES" localSheetId="10">#REF!</definedName>
    <definedName name="SERVICIOS_PERSONALES" localSheetId="9">#REF!</definedName>
    <definedName name="SERVICIOS_PERSONALES" localSheetId="2">#REF!</definedName>
    <definedName name="SERVICIOS_PERSONALES" localSheetId="5">#REF!</definedName>
    <definedName name="SERVICIOS_PERSONALES" localSheetId="14">#REF!</definedName>
    <definedName name="SERVICIOS_PERSONALES">#REF!</definedName>
    <definedName name="SERVIÇOS" localSheetId="2">#REF!</definedName>
    <definedName name="SERVIÇOS" localSheetId="5">#REF!</definedName>
    <definedName name="SERVIÇOS" localSheetId="14">#REF!</definedName>
    <definedName name="SERVIÇOS">#REF!</definedName>
    <definedName name="SGRAL" localSheetId="2">#REF!</definedName>
    <definedName name="SGRAL" localSheetId="5">#REF!</definedName>
    <definedName name="SGRAL" localSheetId="14">#REF!</definedName>
    <definedName name="SGRAL">#REF!</definedName>
    <definedName name="SHARED_FORMULA_0">#N/A</definedName>
    <definedName name="SHARED_FORMULA_1">#N/A</definedName>
    <definedName name="SHARED_FORMULA_2">#N/A</definedName>
    <definedName name="SheetName" localSheetId="10">#REF!</definedName>
    <definedName name="SheetName" localSheetId="9">#REF!</definedName>
    <definedName name="SheetName">#REF!</definedName>
    <definedName name="SI">#REF!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'[10]#¡REF'!$C$45:$C$46</definedName>
    <definedName name="SPOT_JPY">'[10]#¡REF'!$D$45:$D$46</definedName>
    <definedName name="subordinadas">[15]Subordinadas!$A$2:$G$45</definedName>
    <definedName name="SUBT_EXT">[6]Cálculos_DM!$B$22:$O$29</definedName>
    <definedName name="SUBT_INT">[6]Cálculos_DM!$B$32:$O$39</definedName>
    <definedName name="Sueldos_del__Personal" localSheetId="10">#REF!</definedName>
    <definedName name="Sueldos_del__Personal" localSheetId="9">#REF!</definedName>
    <definedName name="Sueldos_del__Personal" localSheetId="2">#REF!</definedName>
    <definedName name="Sueldos_del__Personal" localSheetId="5">#REF!</definedName>
    <definedName name="Sueldos_del__Personal" localSheetId="14">#REF!</definedName>
    <definedName name="Sueldos_del__Personal">#REF!</definedName>
    <definedName name="supexpo" localSheetId="2">#REF!</definedName>
    <definedName name="supexpo" localSheetId="5">#REF!</definedName>
    <definedName name="supexpo" localSheetId="14">#REF!</definedName>
    <definedName name="supexpo">#REF!</definedName>
    <definedName name="supimpo" localSheetId="2">#REF!</definedName>
    <definedName name="supimpo" localSheetId="5">#REF!</definedName>
    <definedName name="supimpo" localSheetId="14">#REF!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'[6]Dados Agencias'!$Q$27:$AD$75</definedName>
    <definedName name="TAB_TMA">'[6]Dados Agencias'!$AF$27:$AS$75</definedName>
    <definedName name="Tab_TME">'[6]Dados Agencias'!$B$27:$O$75</definedName>
    <definedName name="TABLA_FWDS">'[10]#¡REF'!$C$87:$I$107</definedName>
    <definedName name="TABLA_FWDS_COPIA">'[10]#¡REF'!$C$64:$I$84</definedName>
    <definedName name="TablaHistorico" hidden="1">'[10]#¡REF'!$A$702:$B$3684</definedName>
    <definedName name="TABLE" localSheetId="10">#REF!</definedName>
    <definedName name="TABLE" localSheetId="9">#REF!</definedName>
    <definedName name="TABLE" localSheetId="2">#REF!</definedName>
    <definedName name="TABLE" localSheetId="5">#REF!</definedName>
    <definedName name="TABLE" localSheetId="14">#REF!</definedName>
    <definedName name="TABLE">#REF!</definedName>
    <definedName name="TABLE_2" localSheetId="2">#REF!</definedName>
    <definedName name="TABLE_2" localSheetId="5">#REF!</definedName>
    <definedName name="TABLE_2" localSheetId="14">#REF!</definedName>
    <definedName name="TABLE_2">#REF!</definedName>
    <definedName name="TARIFAS" localSheetId="2">#REF!</definedName>
    <definedName name="TARIFAS" localSheetId="5">#REF!</definedName>
    <definedName name="TARIFAS" localSheetId="14">#REF!</definedName>
    <definedName name="TARIFAS">#REF!</definedName>
    <definedName name="TASA">#REF!</definedName>
    <definedName name="TASATOT">#REF!</definedName>
    <definedName name="TCD_META">'[6]Dados Perdas'!$AG$36:$AS$42</definedName>
    <definedName name="TCD_REAL">'[6]Dados Perdas'!$AG$26:$AS$32</definedName>
    <definedName name="TD">[7]ELEGIR!$D$7</definedName>
    <definedName name="TELEC" localSheetId="10">#REF!</definedName>
    <definedName name="TELEC" localSheetId="9">#REF!</definedName>
    <definedName name="TELEC" localSheetId="2">#REF!</definedName>
    <definedName name="TELEC" localSheetId="5">#REF!</definedName>
    <definedName name="TELEC" localSheetId="14">#REF!</definedName>
    <definedName name="TELEC">#REF!</definedName>
    <definedName name="Tempo_Medio_CE">'[6]Dados de relacionamento'!$B$130:$N$136</definedName>
    <definedName name="Tempo_Medio_LN">'[6]Dados de relacionamento'!$B$48:$N$54</definedName>
    <definedName name="Tempo_Medio_RL">'[6]Dados de relacionamento'!$B$73:$N$79</definedName>
    <definedName name="Tempo_Medio_RLU">'[6]Dados de relacionamento'!$B$98:$N$104</definedName>
    <definedName name="Tempo_Medio_SE">'[6]Dados de relacionamento'!$B$152:$N$158</definedName>
    <definedName name="TEMPORAL" localSheetId="10">#REF!</definedName>
    <definedName name="TEMPORAL" localSheetId="9">#REF!</definedName>
    <definedName name="TEMPORAL" localSheetId="2">#REF!</definedName>
    <definedName name="TEMPORAL" localSheetId="5">#REF!</definedName>
    <definedName name="TEMPORAL" localSheetId="14">#REF!</definedName>
    <definedName name="TEMPORAL">#REF!</definedName>
    <definedName name="Ter_Pedidos_04">'[6]2º 3º pedidos'!$D$52:$P$58</definedName>
    <definedName name="Ter_Pedidos_05">'[6]2º 3º pedidos'!$D$61:$P$67</definedName>
    <definedName name="TERCER_PLAN_DE_TRANSMISION" localSheetId="10">#REF!</definedName>
    <definedName name="TERCER_PLAN_DE_TRANSMISION" localSheetId="9">#REF!</definedName>
    <definedName name="TERCER_PLAN_DE_TRANSMISION" localSheetId="2">#REF!</definedName>
    <definedName name="TERCER_PLAN_DE_TRANSMISION" localSheetId="5">#REF!</definedName>
    <definedName name="TERCER_PLAN_DE_TRANSMISION" localSheetId="14">#REF!</definedName>
    <definedName name="TERCER_PLAN_DE_TRANSMISION">#REF!</definedName>
    <definedName name="TERCPED">'[5]Dados Call Center'!$S$2:$AE$19</definedName>
    <definedName name="TEST0" localSheetId="10">#REF!</definedName>
    <definedName name="TEST0" localSheetId="9">#REF!</definedName>
    <definedName name="TEST0" localSheetId="2">#REF!</definedName>
    <definedName name="TEST0" localSheetId="5">#REF!</definedName>
    <definedName name="TEST0" localSheetId="14">#REF!</definedName>
    <definedName name="TEST0">#REF!</definedName>
    <definedName name="TEST1" localSheetId="2">#REF!</definedName>
    <definedName name="TEST1" localSheetId="5">#REF!</definedName>
    <definedName name="TEST1" localSheetId="14">#REF!</definedName>
    <definedName name="TEST1">#REF!</definedName>
    <definedName name="TEST2" localSheetId="2">#REF!</definedName>
    <definedName name="TEST2" localSheetId="5">#REF!</definedName>
    <definedName name="TEST2" localSheetId="14">#REF!</definedName>
    <definedName name="TEST2">#REF!</definedName>
    <definedName name="TESTHKEY">#REF!</definedName>
    <definedName name="TESTKEYS">#REF!</definedName>
    <definedName name="TESTVKEY">#REF!</definedName>
    <definedName name="TGTFCONTRAT">[5]DadosSeguranc!$G$70:$S$135</definedName>
    <definedName name="TGTFPROP">[5]DadosSeguranc!$G$2:$S$67</definedName>
    <definedName name="TIME1" localSheetId="10">#REF!</definedName>
    <definedName name="TIME1" localSheetId="9">#REF!</definedName>
    <definedName name="TIME1" localSheetId="2">#REF!</definedName>
    <definedName name="TIME1" localSheetId="5">#REF!</definedName>
    <definedName name="TIME1" localSheetId="14">#REF!</definedName>
    <definedName name="TIME1">#REF!</definedName>
    <definedName name="TIME2" localSheetId="2">#REF!</definedName>
    <definedName name="TIME2" localSheetId="5">#REF!</definedName>
    <definedName name="TIME2" localSheetId="14">#REF!</definedName>
    <definedName name="TIME2">#REF!</definedName>
    <definedName name="TMA">'[5]Dados DEC e FEC'!$D$247:$Q$258</definedName>
    <definedName name="TME">'[5]Dados Ind Com'!$D$16:$P$39</definedName>
    <definedName name="TME_GERAL" localSheetId="10">#REF!</definedName>
    <definedName name="TME_GERAL" localSheetId="9">#REF!</definedName>
    <definedName name="TME_GERAL" localSheetId="2">#REF!</definedName>
    <definedName name="TME_GERAL" localSheetId="5">#REF!</definedName>
    <definedName name="TME_GERAL" localSheetId="14">#REF!</definedName>
    <definedName name="TME_GERAL">#REF!</definedName>
    <definedName name="TME_MEDIA" localSheetId="2">#REF!</definedName>
    <definedName name="TME_MEDIA" localSheetId="5">#REF!</definedName>
    <definedName name="TME_MEDIA" localSheetId="14">#REF!</definedName>
    <definedName name="TME_MEDIA">#REF!</definedName>
    <definedName name="TME_NEG" localSheetId="2">#REF!</definedName>
    <definedName name="TME_NEG" localSheetId="5">#REF!</definedName>
    <definedName name="TME_NEG" localSheetId="14">#REF!</definedName>
    <definedName name="TME_NEG">#REF!</definedName>
    <definedName name="TME_PREF">#REF!</definedName>
    <definedName name="TME_TOI">#REF!</definedName>
    <definedName name="TML">'[5]Dados Ind Com'!$D$95:$P$118</definedName>
    <definedName name="TMR">'[5]Dados Ind Com'!$D$43:$P$66</definedName>
    <definedName name="TMRU">'[5]Dados Ind Com'!$D$69:$P$92</definedName>
    <definedName name="TMS">'[5]Dados Ind Com'!$D$2:$P$13</definedName>
    <definedName name="TNOV">'[5]Dados DEC e FEC'!$D$261:$P$272</definedName>
    <definedName name="TNOVENTA">'[5]Dados DEC e FEC'!$D$261:$Q$272</definedName>
    <definedName name="TOI_META">'[6]Dados Perdas'!$R$36:$AD$42</definedName>
    <definedName name="TOI_REAL">'[6]Dados Perdas'!$R$26:$AD$32</definedName>
    <definedName name="torres">[4]Gráficas!$A$55:$H$57</definedName>
    <definedName name="TOTAL">[6]Cálculos_DM!$B$12:$O$19</definedName>
    <definedName name="TOTAL_CI">'[6]Dados Faturamento'!$C$41:$N$47</definedName>
    <definedName name="TOTAL_FAT">'[6]Dados Faturamento'!$C$21:$N$27</definedName>
    <definedName name="TOTAL_ISA" localSheetId="10">#REF!</definedName>
    <definedName name="TOTAL_ISA" localSheetId="9">#REF!</definedName>
    <definedName name="TOTAL_ISA" localSheetId="2">#REF!</definedName>
    <definedName name="TOTAL_ISA" localSheetId="5">#REF!</definedName>
    <definedName name="TOTAL_ISA" localSheetId="14">#REF!</definedName>
    <definedName name="TOTAL_ISA">#REF!</definedName>
    <definedName name="TOTAL_RECLAM">'[6]Dados Faturamento'!$C$51:$N$57</definedName>
    <definedName name="TOTAL_REFAT">'[6]Dados Faturamento'!$C$31:$N$37</definedName>
    <definedName name="Totales" localSheetId="10">#REF!,#REF!,#REF!,#REF!,#REF!,#REF!,#REF!,#REF!,#REF!,#REF!,#REF!,#REF!,#REF!,#REF!,#REF!,#REF!,#REF!,#REF!,#REF!,#REF!,#REF!,#REF!,#REF!,#REF!,#REF!,#REF!,#REF!,#REF!,#REF!,#REF!,#REF!,#REF!,#REF!,#REF!,#REF!,#REF!</definedName>
    <definedName name="Totales" localSheetId="9">#REF!,#REF!,#REF!,#REF!,#REF!,#REF!,#REF!,#REF!,#REF!,#REF!,#REF!,#REF!,#REF!,#REF!,#REF!,#REF!,#REF!,#REF!,#REF!,#REF!,#REF!,#REF!,#REF!,#REF!,#REF!,#REF!,#REF!,#REF!,#REF!,#REF!,#REF!,#REF!,#REF!,#REF!,#REF!,#REF!</definedName>
    <definedName name="Totales" localSheetId="2">#REF!,#REF!,#REF!,#REF!,#REF!,#REF!,#REF!,#REF!,#REF!,#REF!,#REF!,#REF!,#REF!,#REF!,#REF!,#REF!,#REF!,#REF!,#REF!,#REF!,#REF!,#REF!,#REF!,#REF!,#REF!,#REF!,#REF!,#REF!,#REF!,#REF!,#REF!,#REF!,#REF!,#REF!,#REF!,#REF!</definedName>
    <definedName name="Totales" localSheetId="5">#REF!,#REF!,#REF!,#REF!,#REF!,#REF!,#REF!,#REF!,#REF!,#REF!,#REF!,#REF!,#REF!,#REF!,#REF!,#REF!,#REF!,#REF!,#REF!,#REF!,#REF!,#REF!,#REF!,#REF!,#REF!,#REF!,#REF!,#REF!,#REF!,#REF!,#REF!,#REF!,#REF!,#REF!,#REF!,#REF!</definedName>
    <definedName name="Totales" localSheetId="14">#REF!,#REF!,#REF!,#REF!,#REF!,#REF!,#REF!,#REF!,#REF!,#REF!,#REF!,#REF!,#REF!,#REF!,#REF!,#REF!,#REF!,#REF!,#REF!,#REF!,#REF!,#REF!,#REF!,#REF!,#REF!,#REF!,#REF!,#REF!,#REF!,#REF!,#REF!,#REF!,#REF!,#REF!,#REF!,#REF!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10">#REF!</definedName>
    <definedName name="transferencias" localSheetId="9">#REF!</definedName>
    <definedName name="transferencias" localSheetId="2">#REF!</definedName>
    <definedName name="transferencias" localSheetId="5">#REF!</definedName>
    <definedName name="transferencias" localSheetId="14">#REF!</definedName>
    <definedName name="transferencias">#REF!</definedName>
    <definedName name="TSFR2" localSheetId="2">#REF!</definedName>
    <definedName name="TSFR2" localSheetId="14">#REF!</definedName>
    <definedName name="TSFR2">#REF!</definedName>
    <definedName name="TSFR3" localSheetId="2">#REF!</definedName>
    <definedName name="TSFR3" localSheetId="14">#REF!</definedName>
    <definedName name="TSFR3">#REF!</definedName>
    <definedName name="TTE">#REF!</definedName>
    <definedName name="TXARREC">'[5]Dados Inadimplência'!$C$75:$N$92</definedName>
    <definedName name="TXARRECMETA">'[6]Dados Inadimplência'!$V$67:$AH$73</definedName>
    <definedName name="Unidad" localSheetId="10">[21]Datos!#REF!</definedName>
    <definedName name="Unidad" localSheetId="9">[21]Datos!#REF!</definedName>
    <definedName name="Unidad" localSheetId="2">[22]Datos!#REF!</definedName>
    <definedName name="Unidad" localSheetId="14">[21]Datos!#REF!</definedName>
    <definedName name="Unidad">[21]Datos!#REF!</definedName>
    <definedName name="Unidade">'[8]Cadastro Trafos'!$W$3:$W$8</definedName>
    <definedName name="UNO" localSheetId="10">#REF!</definedName>
    <definedName name="UNO" localSheetId="9">#REF!</definedName>
    <definedName name="UNO" localSheetId="2">#REF!</definedName>
    <definedName name="UNO" localSheetId="5">#REF!</definedName>
    <definedName name="UNO" localSheetId="14">#REF!</definedName>
    <definedName name="UNO">#REF!</definedName>
    <definedName name="UPS" localSheetId="10">'[17]Dados Work'!#REF!</definedName>
    <definedName name="UPS" localSheetId="9">'[17]Dados Work'!#REF!</definedName>
    <definedName name="UPS" localSheetId="2">'[17]Dados Work'!#REF!</definedName>
    <definedName name="UPS" localSheetId="14">'[17]Dados Work'!#REF!</definedName>
    <definedName name="UPS">'[17]Dados Work'!#REF!</definedName>
    <definedName name="UPSOPER07" localSheetId="10">#REF!</definedName>
    <definedName name="UPSOPER07" localSheetId="9">#REF!</definedName>
    <definedName name="UPSOPER07" localSheetId="2">#REF!</definedName>
    <definedName name="UPSOPER07" localSheetId="5">#REF!</definedName>
    <definedName name="UPSOPER07" localSheetId="14">#REF!</definedName>
    <definedName name="UPSOPER07">#REF!</definedName>
    <definedName name="UPSPERD07" localSheetId="2">#REF!</definedName>
    <definedName name="UPSPERD07" localSheetId="5">#REF!</definedName>
    <definedName name="UPSPERD07" localSheetId="14">#REF!</definedName>
    <definedName name="UPSPERD07">#REF!</definedName>
    <definedName name="UPSSUB07" localSheetId="2">#REF!</definedName>
    <definedName name="UPSSUB07" localSheetId="5">#REF!</definedName>
    <definedName name="UPSSUB07" localSheetId="14">#REF!</definedName>
    <definedName name="UPSSUB07">#REF!</definedName>
    <definedName name="UPSUNDER07">#REF!</definedName>
    <definedName name="Utilidad_antes_de_C.M.">'[12]#¡REF'!$B$26</definedName>
    <definedName name="Utilidad_Neta">'[12]#¡REF'!$B$29</definedName>
    <definedName name="Utilidad_Operacional">'[12]#¡REF'!$B$19</definedName>
    <definedName name="v" localSheetId="10">#REF!</definedName>
    <definedName name="v" localSheetId="9">#REF!</definedName>
    <definedName name="v" localSheetId="2">#REF!</definedName>
    <definedName name="v" localSheetId="5">#REF!</definedName>
    <definedName name="v" localSheetId="14">#REF!</definedName>
    <definedName name="v">#REF!</definedName>
    <definedName name="VALOR_DEP" localSheetId="2">#REF!</definedName>
    <definedName name="VALOR_DEP" localSheetId="5">#REF!</definedName>
    <definedName name="VALOR_DEP" localSheetId="14">#REF!</definedName>
    <definedName name="VALOR_DEP">#REF!</definedName>
    <definedName name="VALUE">'[5]Dados RiscoEnergia'!$F$3:$Q$4</definedName>
    <definedName name="VOL_EUR">'[10]#¡REF'!$C$48</definedName>
    <definedName name="VOL_JPY">'[10]#¡REF'!$D$48</definedName>
    <definedName name="WH" localSheetId="10">#REF!</definedName>
    <definedName name="WH" localSheetId="9">#REF!</definedName>
    <definedName name="WH" localSheetId="2">#REF!</definedName>
    <definedName name="WH" localSheetId="5">#REF!</definedName>
    <definedName name="WH" localSheetId="14">#REF!</definedName>
    <definedName name="WH">#REF!</definedName>
    <definedName name="workganho" localSheetId="2">#REF!</definedName>
    <definedName name="workganho" localSheetId="5">#REF!</definedName>
    <definedName name="workganho" localSheetId="14">#REF!</definedName>
    <definedName name="workganho">#REF!</definedName>
    <definedName name="WORKSHEET" localSheetId="2">#REF!</definedName>
    <definedName name="WORKSHEET" localSheetId="5">#REF!</definedName>
    <definedName name="WORKSHEET" localSheetId="14">#REF!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34" i="7" l="1"/>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33" i="7"/>
  <c r="X10" i="7"/>
  <c r="X11" i="7"/>
  <c r="X12" i="7"/>
  <c r="X13" i="7"/>
  <c r="X14" i="7"/>
  <c r="X15" i="7"/>
  <c r="X16" i="7"/>
  <c r="X17" i="7"/>
  <c r="X18" i="7"/>
  <c r="X19" i="7"/>
  <c r="X20" i="7"/>
  <c r="X21" i="7"/>
  <c r="X22" i="7"/>
  <c r="X23" i="7"/>
  <c r="X24" i="7"/>
  <c r="X26" i="7"/>
  <c r="X30" i="7"/>
  <c r="X9" i="7"/>
  <c r="X51" i="2" l="1"/>
  <c r="X52" i="2"/>
  <c r="X53" i="2"/>
  <c r="X54" i="2"/>
  <c r="X55" i="2"/>
  <c r="X56" i="2"/>
  <c r="X58" i="2"/>
  <c r="X59" i="2"/>
  <c r="X60" i="2"/>
  <c r="X61" i="2"/>
  <c r="X62" i="2"/>
  <c r="X63" i="2"/>
  <c r="X64" i="2"/>
  <c r="X65" i="2"/>
  <c r="X66" i="2"/>
  <c r="X67" i="2"/>
  <c r="X68" i="2"/>
  <c r="X69" i="2"/>
  <c r="X70" i="2"/>
  <c r="X71" i="2"/>
  <c r="X72" i="2"/>
  <c r="X73" i="2"/>
  <c r="X74" i="2"/>
  <c r="X75" i="2"/>
  <c r="X78" i="2"/>
  <c r="X79" i="2"/>
  <c r="X80" i="2"/>
  <c r="X81" i="2"/>
  <c r="X82" i="2"/>
  <c r="X83" i="2"/>
  <c r="X84" i="2"/>
  <c r="X85" i="2"/>
  <c r="X86" i="2"/>
  <c r="X88" i="2"/>
  <c r="X89" i="2"/>
  <c r="X90" i="2"/>
  <c r="X91" i="2"/>
  <c r="X92" i="2"/>
  <c r="X93" i="2"/>
  <c r="X94" i="2"/>
  <c r="X95" i="2"/>
  <c r="X96" i="2"/>
  <c r="X97" i="2"/>
  <c r="X98" i="2"/>
  <c r="X100" i="2"/>
  <c r="X101" i="2"/>
  <c r="X102" i="2"/>
  <c r="X103" i="2"/>
  <c r="X104" i="2"/>
  <c r="X105" i="2"/>
  <c r="X106" i="2"/>
  <c r="X107" i="2"/>
  <c r="X108" i="2"/>
  <c r="X109" i="2"/>
  <c r="X50" i="2"/>
  <c r="X10" i="2"/>
  <c r="X11" i="2"/>
  <c r="X12" i="2"/>
  <c r="X13" i="2"/>
  <c r="X14" i="2"/>
  <c r="X15" i="2"/>
  <c r="X16" i="2"/>
  <c r="X17" i="2"/>
  <c r="X18" i="2"/>
  <c r="X19" i="2"/>
  <c r="X20" i="2"/>
  <c r="X21" i="2"/>
  <c r="X22" i="2"/>
  <c r="X24" i="2"/>
  <c r="X25" i="2"/>
  <c r="X26" i="2"/>
  <c r="X27" i="2"/>
  <c r="X28" i="2"/>
  <c r="X29" i="2"/>
  <c r="X30" i="2"/>
  <c r="X32" i="2"/>
  <c r="X33" i="2"/>
  <c r="X34" i="2"/>
  <c r="X35" i="2"/>
  <c r="X36" i="2"/>
  <c r="X39" i="2"/>
  <c r="X9" i="2"/>
  <c r="K38" i="31" l="1"/>
  <c r="K39" i="31"/>
  <c r="K40" i="31"/>
  <c r="K41" i="31"/>
  <c r="K42" i="31"/>
  <c r="K43" i="31"/>
  <c r="K45" i="31"/>
  <c r="K46" i="31"/>
  <c r="K47" i="31"/>
  <c r="K48" i="31"/>
  <c r="K49" i="31"/>
  <c r="K50" i="31"/>
  <c r="K51" i="31"/>
  <c r="K52" i="31"/>
  <c r="K53" i="31"/>
  <c r="K54" i="31"/>
  <c r="K55" i="31"/>
  <c r="K56" i="31"/>
  <c r="K57" i="31"/>
  <c r="K58" i="31"/>
  <c r="K59" i="31"/>
  <c r="K60" i="31"/>
  <c r="K61" i="31"/>
  <c r="K64" i="31"/>
  <c r="K65" i="31"/>
  <c r="K66" i="31"/>
  <c r="K67" i="31"/>
  <c r="K68" i="31"/>
  <c r="K69" i="31"/>
  <c r="K70" i="31"/>
  <c r="K71" i="31"/>
  <c r="K72" i="31"/>
  <c r="K74" i="31"/>
  <c r="K75" i="31"/>
  <c r="K76" i="31"/>
  <c r="K77" i="31"/>
  <c r="K78" i="31"/>
  <c r="K79" i="31"/>
  <c r="K80" i="31"/>
  <c r="K81" i="31"/>
  <c r="K82" i="31"/>
  <c r="K83" i="31"/>
  <c r="K84" i="31"/>
  <c r="K86" i="31"/>
  <c r="K87" i="31"/>
  <c r="K88" i="31"/>
  <c r="K89" i="31"/>
  <c r="K90" i="31"/>
  <c r="K91" i="31"/>
  <c r="K92" i="31"/>
  <c r="K93" i="31"/>
  <c r="K37" i="31"/>
  <c r="K9" i="31"/>
  <c r="K10" i="31"/>
  <c r="K11" i="31"/>
  <c r="K12" i="31"/>
  <c r="K13" i="31"/>
  <c r="K14" i="31"/>
  <c r="K15" i="31"/>
  <c r="K16" i="31"/>
  <c r="K17" i="31"/>
  <c r="K18" i="31"/>
  <c r="K19" i="31"/>
  <c r="K20" i="31"/>
  <c r="K21" i="31"/>
  <c r="K22" i="31"/>
  <c r="K23" i="31"/>
  <c r="K24" i="31"/>
  <c r="K25" i="31"/>
  <c r="K26" i="31"/>
  <c r="K27" i="31"/>
  <c r="K28" i="31"/>
  <c r="K29" i="31"/>
  <c r="K30" i="31"/>
  <c r="K8" i="31"/>
  <c r="X42" i="22"/>
  <c r="X38" i="22"/>
  <c r="X39" i="22"/>
  <c r="X40" i="22"/>
  <c r="X41" i="22"/>
  <c r="X43" i="22"/>
  <c r="X44" i="22"/>
  <c r="X45" i="22"/>
  <c r="X46" i="22"/>
  <c r="X47" i="22"/>
  <c r="X48" i="22"/>
  <c r="X49" i="22"/>
  <c r="X50" i="22"/>
  <c r="X51" i="22"/>
  <c r="X52" i="22"/>
  <c r="X53" i="22"/>
  <c r="X54" i="22"/>
  <c r="X55" i="22"/>
  <c r="X56" i="22"/>
  <c r="X57" i="22"/>
  <c r="X58" i="22"/>
  <c r="X59" i="22"/>
  <c r="X62" i="22"/>
  <c r="X63" i="22"/>
  <c r="X64" i="22"/>
  <c r="X65" i="22"/>
  <c r="X66" i="22"/>
  <c r="X67" i="22"/>
  <c r="X68" i="22"/>
  <c r="X69" i="22"/>
  <c r="X71" i="22"/>
  <c r="X72" i="22"/>
  <c r="X73" i="22"/>
  <c r="X74" i="22"/>
  <c r="X75" i="22"/>
  <c r="X76" i="22"/>
  <c r="X77" i="22"/>
  <c r="X78" i="22"/>
  <c r="X79" i="22"/>
  <c r="X80" i="22"/>
  <c r="X82" i="22"/>
  <c r="X83" i="22"/>
  <c r="X84" i="22"/>
  <c r="X85" i="22"/>
  <c r="X86" i="22"/>
  <c r="X87" i="22"/>
  <c r="X88" i="22"/>
  <c r="X89" i="22"/>
  <c r="X37" i="22"/>
  <c r="X10" i="22" l="1"/>
  <c r="X11" i="22"/>
  <c r="X12" i="22"/>
  <c r="X13" i="22"/>
  <c r="X14" i="22"/>
  <c r="X15" i="22"/>
  <c r="X16" i="22"/>
  <c r="X17" i="22"/>
  <c r="X19" i="22"/>
  <c r="X20" i="22"/>
  <c r="X21" i="22"/>
  <c r="X23" i="22"/>
  <c r="X24" i="22"/>
  <c r="X26" i="22"/>
  <c r="X27" i="22"/>
  <c r="X29" i="22"/>
  <c r="X9" i="22"/>
  <c r="D14" i="38" l="1"/>
  <c r="E14" i="38"/>
  <c r="F14" i="38"/>
  <c r="G14" i="38"/>
  <c r="H14" i="38"/>
  <c r="I14" i="38"/>
  <c r="J14" i="38"/>
  <c r="K14" i="38"/>
  <c r="L14" i="38"/>
  <c r="M14" i="38"/>
  <c r="N14" i="38"/>
  <c r="O14" i="38"/>
  <c r="P14" i="38"/>
  <c r="Q14" i="38"/>
  <c r="R14" i="38"/>
  <c r="S14" i="38"/>
  <c r="T14" i="38"/>
  <c r="U14" i="38"/>
  <c r="V14" i="38"/>
  <c r="W14" i="38"/>
  <c r="X14" i="38"/>
  <c r="Y14" i="38"/>
  <c r="Z14" i="38"/>
  <c r="D15" i="38"/>
  <c r="E15" i="38"/>
  <c r="F15" i="38"/>
  <c r="G15" i="38"/>
  <c r="H15" i="38"/>
  <c r="I15" i="38"/>
  <c r="J15" i="38"/>
  <c r="K15" i="38"/>
  <c r="L15" i="38"/>
  <c r="M15" i="38"/>
  <c r="N15" i="38"/>
  <c r="O15" i="38"/>
  <c r="P15" i="38"/>
  <c r="Q15" i="38"/>
  <c r="R15" i="38"/>
  <c r="S15" i="38"/>
  <c r="T15" i="38"/>
  <c r="U15" i="38"/>
  <c r="V15" i="38"/>
  <c r="W15" i="38"/>
  <c r="X15" i="38"/>
  <c r="Y15" i="38"/>
  <c r="Z15" i="38"/>
  <c r="C15" i="38"/>
  <c r="C14" i="38"/>
  <c r="D11" i="38"/>
  <c r="E11" i="38"/>
  <c r="F11" i="38"/>
  <c r="G11" i="38"/>
  <c r="H11" i="38"/>
  <c r="I11" i="38"/>
  <c r="J11" i="38"/>
  <c r="K11" i="38"/>
  <c r="L11" i="38"/>
  <c r="M11" i="38"/>
  <c r="N11" i="38"/>
  <c r="O11" i="38"/>
  <c r="P11" i="38"/>
  <c r="Q11" i="38"/>
  <c r="R11" i="38"/>
  <c r="S11" i="38"/>
  <c r="T11" i="38"/>
  <c r="U11" i="38"/>
  <c r="V11" i="38"/>
  <c r="W11" i="38"/>
  <c r="X11" i="38"/>
  <c r="Y11" i="38"/>
  <c r="Z11" i="38"/>
  <c r="D12" i="38"/>
  <c r="E12" i="38"/>
  <c r="F12" i="38"/>
  <c r="G12" i="38"/>
  <c r="H12" i="38"/>
  <c r="I12" i="38"/>
  <c r="J12" i="38"/>
  <c r="K12" i="38"/>
  <c r="L12" i="38"/>
  <c r="M12" i="38"/>
  <c r="N12" i="38"/>
  <c r="O12" i="38"/>
  <c r="P12" i="38"/>
  <c r="Q12" i="38"/>
  <c r="R12" i="38"/>
  <c r="S12" i="38"/>
  <c r="T12" i="38"/>
  <c r="U12" i="38"/>
  <c r="V12" i="38"/>
  <c r="W12" i="38"/>
  <c r="X12" i="38"/>
  <c r="Y12" i="38"/>
  <c r="Z12" i="38"/>
  <c r="C12" i="38"/>
  <c r="C11" i="38"/>
  <c r="D8" i="38"/>
  <c r="E8" i="38"/>
  <c r="F8" i="38"/>
  <c r="G8" i="38"/>
  <c r="H8" i="38"/>
  <c r="I8" i="38"/>
  <c r="J8" i="38"/>
  <c r="K8" i="38"/>
  <c r="L8" i="38"/>
  <c r="M8" i="38"/>
  <c r="N8" i="38"/>
  <c r="O8" i="38"/>
  <c r="P8" i="38"/>
  <c r="Q8" i="38"/>
  <c r="R8" i="38"/>
  <c r="S8" i="38"/>
  <c r="T8" i="38"/>
  <c r="U8" i="38"/>
  <c r="V8" i="38"/>
  <c r="W8" i="38"/>
  <c r="X8" i="38"/>
  <c r="Y8" i="38"/>
  <c r="Z8" i="38"/>
  <c r="D9" i="38"/>
  <c r="E9" i="38"/>
  <c r="F9" i="38"/>
  <c r="G9" i="38"/>
  <c r="H9" i="38"/>
  <c r="I9" i="38"/>
  <c r="J9" i="38"/>
  <c r="K9" i="38"/>
  <c r="L9" i="38"/>
  <c r="M9" i="38"/>
  <c r="N9" i="38"/>
  <c r="O9" i="38"/>
  <c r="P9" i="38"/>
  <c r="Q9" i="38"/>
  <c r="R9" i="38"/>
  <c r="S9" i="38"/>
  <c r="T9" i="38"/>
  <c r="U9" i="38"/>
  <c r="V9" i="38"/>
  <c r="W9" i="38"/>
  <c r="X9" i="38"/>
  <c r="Y9" i="38"/>
  <c r="Z9" i="38"/>
  <c r="C9" i="38"/>
  <c r="C8" i="38"/>
  <c r="D5" i="38"/>
  <c r="D17" i="38" s="1"/>
  <c r="E5" i="38"/>
  <c r="E17" i="38" s="1"/>
  <c r="F5" i="38"/>
  <c r="F17" i="38" s="1"/>
  <c r="G5" i="38"/>
  <c r="G17" i="38" s="1"/>
  <c r="H5" i="38"/>
  <c r="H17" i="38" s="1"/>
  <c r="I5" i="38"/>
  <c r="I17" i="38" s="1"/>
  <c r="J5" i="38"/>
  <c r="J17" i="38" s="1"/>
  <c r="K5" i="38"/>
  <c r="K17" i="38" s="1"/>
  <c r="L5" i="38"/>
  <c r="L17" i="38" s="1"/>
  <c r="M5" i="38"/>
  <c r="M17" i="38" s="1"/>
  <c r="N5" i="38"/>
  <c r="N17" i="38" s="1"/>
  <c r="O5" i="38"/>
  <c r="O17" i="38" s="1"/>
  <c r="P5" i="38"/>
  <c r="P17" i="38" s="1"/>
  <c r="Q5" i="38"/>
  <c r="Q17" i="38" s="1"/>
  <c r="R5" i="38"/>
  <c r="R17" i="38" s="1"/>
  <c r="S5" i="38"/>
  <c r="S17" i="38" s="1"/>
  <c r="T5" i="38"/>
  <c r="T17" i="38" s="1"/>
  <c r="U5" i="38"/>
  <c r="U17" i="38" s="1"/>
  <c r="V5" i="38"/>
  <c r="V17" i="38" s="1"/>
  <c r="W5" i="38"/>
  <c r="W17" i="38" s="1"/>
  <c r="X5" i="38"/>
  <c r="X17" i="38" s="1"/>
  <c r="Y5" i="38"/>
  <c r="Y17" i="38" s="1"/>
  <c r="Z5" i="38"/>
  <c r="Z17" i="38" s="1"/>
  <c r="D6" i="38"/>
  <c r="D18" i="38" s="1"/>
  <c r="E6" i="38"/>
  <c r="E18" i="38" s="1"/>
  <c r="F6" i="38"/>
  <c r="F18" i="38" s="1"/>
  <c r="G6" i="38"/>
  <c r="G18" i="38" s="1"/>
  <c r="H6" i="38"/>
  <c r="H18" i="38" s="1"/>
  <c r="I6" i="38"/>
  <c r="I18" i="38" s="1"/>
  <c r="J6" i="38"/>
  <c r="J18" i="38" s="1"/>
  <c r="K6" i="38"/>
  <c r="L6" i="38"/>
  <c r="L18" i="38" s="1"/>
  <c r="M6" i="38"/>
  <c r="M18" i="38" s="1"/>
  <c r="N6" i="38"/>
  <c r="N18" i="38" s="1"/>
  <c r="O6" i="38"/>
  <c r="O18" i="38" s="1"/>
  <c r="P6" i="38"/>
  <c r="P18" i="38" s="1"/>
  <c r="Q6" i="38"/>
  <c r="Q18" i="38" s="1"/>
  <c r="R6" i="38"/>
  <c r="R18" i="38" s="1"/>
  <c r="S6" i="38"/>
  <c r="S18" i="38" s="1"/>
  <c r="T6" i="38"/>
  <c r="T18" i="38" s="1"/>
  <c r="U6" i="38"/>
  <c r="U18" i="38" s="1"/>
  <c r="V6" i="38"/>
  <c r="V18" i="38" s="1"/>
  <c r="W6" i="38"/>
  <c r="W18" i="38" s="1"/>
  <c r="X6" i="38"/>
  <c r="X18" i="38" s="1"/>
  <c r="Y6" i="38"/>
  <c r="Y18" i="38" s="1"/>
  <c r="Z6" i="38"/>
  <c r="Z18" i="38" s="1"/>
  <c r="C6" i="38"/>
  <c r="C18" i="38" s="1"/>
  <c r="C5" i="38"/>
  <c r="C17" i="38" s="1"/>
  <c r="A5" i="38"/>
  <c r="D4" i="38"/>
  <c r="E4" i="38"/>
  <c r="F4" i="38"/>
  <c r="G4" i="38"/>
  <c r="H4" i="38"/>
  <c r="I4" i="38"/>
  <c r="J4" i="38"/>
  <c r="K4" i="38"/>
  <c r="L4" i="38"/>
  <c r="M4" i="38"/>
  <c r="N4" i="38"/>
  <c r="O4" i="38"/>
  <c r="P4" i="38"/>
  <c r="Q4" i="38"/>
  <c r="R4" i="38"/>
  <c r="S4" i="38"/>
  <c r="T4" i="38"/>
  <c r="U4" i="38"/>
  <c r="V4" i="38"/>
  <c r="W4" i="38"/>
  <c r="X4" i="38"/>
  <c r="Y4" i="38"/>
  <c r="Z4" i="38"/>
  <c r="C4" i="38"/>
  <c r="K18" i="38" l="1"/>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271" i="6"/>
  <c r="X272" i="6"/>
  <c r="X273" i="6"/>
  <c r="X274" i="6"/>
  <c r="X275" i="6"/>
  <c r="X276" i="6"/>
  <c r="X277" i="6"/>
  <c r="X278" i="6"/>
  <c r="X279" i="6"/>
  <c r="X280" i="6"/>
  <c r="X281" i="6"/>
  <c r="X282" i="6"/>
  <c r="X283" i="6"/>
  <c r="X284" i="6"/>
  <c r="X285" i="6"/>
  <c r="X286" i="6"/>
  <c r="X287" i="6"/>
  <c r="X288" i="6"/>
  <c r="X289" i="6"/>
  <c r="X290" i="6"/>
  <c r="X291" i="6"/>
  <c r="X292" i="6"/>
  <c r="X293" i="6"/>
  <c r="X294" i="6"/>
  <c r="X295" i="6"/>
  <c r="X296" i="6"/>
  <c r="X297" i="6"/>
  <c r="X298" i="6"/>
  <c r="X299" i="6"/>
  <c r="X300" i="6"/>
  <c r="X301" i="6"/>
  <c r="X302" i="6"/>
  <c r="X303" i="6"/>
  <c r="X304" i="6"/>
  <c r="X305" i="6"/>
  <c r="X306" i="6"/>
  <c r="X307" i="6"/>
  <c r="X308" i="6"/>
  <c r="X309" i="6"/>
  <c r="X310" i="6"/>
  <c r="X311" i="6"/>
  <c r="X312" i="6"/>
  <c r="X313" i="6"/>
  <c r="X314" i="6"/>
  <c r="X315" i="6"/>
  <c r="X316" i="6"/>
  <c r="X317" i="6"/>
  <c r="X318" i="6"/>
  <c r="X319" i="6"/>
  <c r="X320" i="6"/>
  <c r="X321" i="6"/>
  <c r="X322" i="6"/>
  <c r="X323" i="6"/>
  <c r="X324" i="6"/>
  <c r="X325" i="6"/>
  <c r="X326" i="6"/>
  <c r="X327" i="6"/>
  <c r="X328" i="6"/>
  <c r="X329" i="6"/>
  <c r="X330" i="6"/>
  <c r="X331" i="6"/>
  <c r="X332" i="6"/>
  <c r="X333" i="6"/>
  <c r="X334" i="6"/>
  <c r="X335" i="6"/>
  <c r="X336" i="6"/>
  <c r="X337" i="6"/>
  <c r="X338" i="6"/>
  <c r="X339" i="6"/>
  <c r="X340" i="6"/>
  <c r="X341" i="6"/>
  <c r="X342" i="6"/>
  <c r="X343" i="6"/>
  <c r="X344" i="6"/>
  <c r="X345" i="6"/>
  <c r="X346" i="6"/>
  <c r="X347" i="6"/>
  <c r="X348" i="6"/>
  <c r="X349" i="6"/>
  <c r="X350" i="6"/>
  <c r="X351" i="6"/>
  <c r="X352" i="6"/>
  <c r="X353" i="6"/>
  <c r="X354" i="6"/>
  <c r="X355" i="6"/>
  <c r="X356" i="6"/>
  <c r="X357" i="6"/>
  <c r="X358" i="6"/>
  <c r="X359" i="6"/>
  <c r="X360" i="6"/>
  <c r="X361" i="6"/>
  <c r="X362" i="6"/>
  <c r="X363" i="6"/>
  <c r="X364" i="6"/>
  <c r="X218" i="6"/>
  <c r="X190" i="6"/>
  <c r="X191" i="6"/>
  <c r="X192" i="6"/>
  <c r="X193" i="6"/>
  <c r="X194" i="6"/>
  <c r="X195" i="6"/>
  <c r="X196" i="6"/>
  <c r="X197" i="6"/>
  <c r="X198" i="6"/>
  <c r="X199" i="6"/>
  <c r="X200" i="6"/>
  <c r="X201" i="6"/>
  <c r="X202" i="6"/>
  <c r="X203" i="6"/>
  <c r="X204" i="6"/>
  <c r="X205" i="6"/>
  <c r="X206" i="6"/>
  <c r="X207" i="6"/>
  <c r="X208" i="6"/>
  <c r="X209" i="6"/>
  <c r="X210" i="6"/>
  <c r="X211" i="6"/>
  <c r="X212" i="6"/>
  <c r="X189"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27" i="6"/>
  <c r="X100" i="6"/>
  <c r="X101" i="6"/>
  <c r="X102" i="6"/>
  <c r="X103" i="6"/>
  <c r="X104" i="6"/>
  <c r="X105" i="6"/>
  <c r="X106" i="6"/>
  <c r="X107" i="6"/>
  <c r="X108" i="6"/>
  <c r="X109" i="6"/>
  <c r="X110" i="6"/>
  <c r="X111" i="6"/>
  <c r="X112" i="6"/>
  <c r="X113" i="6"/>
  <c r="X114" i="6"/>
  <c r="X115" i="6"/>
  <c r="X116" i="6"/>
  <c r="X117" i="6"/>
  <c r="X118" i="6"/>
  <c r="X119" i="6"/>
  <c r="X120" i="6"/>
  <c r="X121" i="6"/>
  <c r="X99" i="6"/>
  <c r="X91"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4" i="6"/>
  <c r="X85" i="6"/>
  <c r="X86" i="6"/>
  <c r="X87" i="6"/>
  <c r="X88" i="6"/>
  <c r="X89" i="6"/>
  <c r="X90" i="6"/>
  <c r="X37" i="6"/>
  <c r="X10" i="6"/>
  <c r="X11" i="6"/>
  <c r="X12" i="6"/>
  <c r="X13" i="6"/>
  <c r="X14" i="6"/>
  <c r="X15" i="6"/>
  <c r="X16" i="6"/>
  <c r="X17" i="6"/>
  <c r="X18" i="6"/>
  <c r="X21" i="6"/>
  <c r="X22" i="6"/>
  <c r="X23" i="6"/>
  <c r="X24" i="6"/>
  <c r="X25" i="6"/>
  <c r="X26" i="6"/>
  <c r="X28" i="6"/>
  <c r="X29" i="6"/>
  <c r="X31" i="6"/>
  <c r="X9" i="6"/>
  <c r="Q37" i="2" l="1"/>
  <c r="R37" i="2"/>
  <c r="S37" i="2"/>
  <c r="T37" i="2"/>
  <c r="X205" i="21" l="1"/>
  <c r="X206" i="21"/>
  <c r="X207" i="21"/>
  <c r="X208" i="21"/>
  <c r="X209" i="21"/>
  <c r="X210" i="21"/>
  <c r="X211" i="21"/>
  <c r="X212" i="21"/>
  <c r="X214" i="21"/>
  <c r="X215" i="21"/>
  <c r="X216" i="21"/>
  <c r="X217" i="21"/>
  <c r="X218" i="21"/>
  <c r="X219" i="21"/>
  <c r="X220" i="21"/>
  <c r="X224" i="21"/>
  <c r="X225" i="21"/>
  <c r="X226" i="21"/>
  <c r="X227" i="21"/>
  <c r="X228" i="21"/>
  <c r="X229" i="21"/>
  <c r="X230" i="21"/>
  <c r="X231" i="21"/>
  <c r="X232" i="21"/>
  <c r="X233" i="21"/>
  <c r="X234" i="21"/>
  <c r="X236" i="21"/>
  <c r="X237" i="21"/>
  <c r="X238" i="21"/>
  <c r="X239" i="21"/>
  <c r="X240" i="21"/>
  <c r="X241" i="21"/>
  <c r="X244" i="21"/>
  <c r="X245" i="21"/>
  <c r="X246" i="21"/>
  <c r="X247" i="21"/>
  <c r="X248" i="21"/>
  <c r="X249" i="21"/>
  <c r="X250" i="21"/>
  <c r="X204" i="21"/>
  <c r="X177" i="21"/>
  <c r="X178" i="21"/>
  <c r="X180" i="21"/>
  <c r="X181" i="21"/>
  <c r="X182" i="21"/>
  <c r="X183" i="21"/>
  <c r="X184" i="21"/>
  <c r="X185" i="21"/>
  <c r="X186" i="21"/>
  <c r="X187" i="21"/>
  <c r="X188" i="21"/>
  <c r="X189" i="21"/>
  <c r="X190" i="21"/>
  <c r="X191" i="21"/>
  <c r="X192" i="21"/>
  <c r="X193" i="21"/>
  <c r="X195" i="21"/>
  <c r="X196" i="21"/>
  <c r="X199" i="21"/>
  <c r="X176" i="21"/>
  <c r="X125" i="21"/>
  <c r="X126" i="21"/>
  <c r="X127" i="21"/>
  <c r="X128" i="21"/>
  <c r="X129" i="21"/>
  <c r="X130" i="21"/>
  <c r="X131" i="21"/>
  <c r="X132" i="21"/>
  <c r="X133" i="21"/>
  <c r="X134" i="21"/>
  <c r="X135" i="21"/>
  <c r="X136" i="21"/>
  <c r="X137" i="21"/>
  <c r="X138" i="21"/>
  <c r="X139" i="21"/>
  <c r="X140" i="21"/>
  <c r="X144" i="21"/>
  <c r="X145" i="21"/>
  <c r="X146" i="21"/>
  <c r="X147" i="21"/>
  <c r="X148" i="21"/>
  <c r="X149" i="21"/>
  <c r="X150" i="21"/>
  <c r="X152" i="21"/>
  <c r="X153" i="21"/>
  <c r="X154" i="21"/>
  <c r="X155" i="21"/>
  <c r="X156" i="21"/>
  <c r="X157" i="21"/>
  <c r="X158" i="21"/>
  <c r="X161" i="21"/>
  <c r="X162" i="21"/>
  <c r="X163" i="21"/>
  <c r="X164" i="21"/>
  <c r="X165" i="21"/>
  <c r="X166" i="21"/>
  <c r="X167" i="21"/>
  <c r="X124" i="21"/>
  <c r="X97" i="21" l="1"/>
  <c r="X98" i="21"/>
  <c r="X99" i="21"/>
  <c r="X100" i="21"/>
  <c r="X101" i="21"/>
  <c r="X102" i="21"/>
  <c r="X103" i="21"/>
  <c r="X104" i="21"/>
  <c r="X105" i="21"/>
  <c r="X106" i="21"/>
  <c r="X107" i="21"/>
  <c r="X108" i="21"/>
  <c r="X109" i="21"/>
  <c r="X110" i="21"/>
  <c r="X111" i="21"/>
  <c r="X112" i="21"/>
  <c r="X113" i="21"/>
  <c r="X114" i="21"/>
  <c r="X115" i="21"/>
  <c r="X116" i="21"/>
  <c r="X117" i="21"/>
  <c r="X118" i="21"/>
  <c r="X119" i="21"/>
  <c r="X96" i="21"/>
  <c r="X65" i="21"/>
  <c r="X66" i="21"/>
  <c r="X67" i="21"/>
  <c r="X68" i="21"/>
  <c r="X69" i="21"/>
  <c r="X70" i="21"/>
  <c r="X71" i="21"/>
  <c r="X72" i="21"/>
  <c r="X73" i="21"/>
  <c r="X74" i="21"/>
  <c r="X75" i="21"/>
  <c r="X76" i="21"/>
  <c r="X77" i="21"/>
  <c r="X78" i="21"/>
  <c r="X79" i="21"/>
  <c r="X80" i="21"/>
  <c r="X81" i="21"/>
  <c r="X82" i="21"/>
  <c r="X83" i="21"/>
  <c r="X84" i="21"/>
  <c r="X85" i="21"/>
  <c r="X86" i="21"/>
  <c r="X87" i="21"/>
  <c r="X64" i="21"/>
  <c r="X40" i="21"/>
  <c r="X41" i="21"/>
  <c r="X42" i="21"/>
  <c r="X43" i="21"/>
  <c r="X44" i="21"/>
  <c r="X45" i="21"/>
  <c r="X46" i="21"/>
  <c r="X47" i="21"/>
  <c r="X48" i="21"/>
  <c r="X49" i="21"/>
  <c r="X50" i="21"/>
  <c r="X51" i="21"/>
  <c r="X52" i="21"/>
  <c r="X53" i="21"/>
  <c r="X54" i="21"/>
  <c r="X55" i="21"/>
  <c r="X56" i="21"/>
  <c r="X57" i="21"/>
  <c r="X58" i="21"/>
  <c r="X59" i="21"/>
  <c r="X60" i="21"/>
  <c r="X39" i="21"/>
  <c r="X19" i="21"/>
  <c r="X20" i="21"/>
  <c r="X21" i="21"/>
  <c r="X22" i="21"/>
  <c r="X23" i="21"/>
  <c r="X24" i="21"/>
  <c r="X25" i="21"/>
  <c r="X26" i="21"/>
  <c r="X27" i="21"/>
  <c r="X28" i="21"/>
  <c r="X29" i="21"/>
  <c r="X30" i="21"/>
  <c r="X31" i="21"/>
  <c r="X32" i="21"/>
  <c r="X10" i="21"/>
  <c r="X11" i="21"/>
  <c r="X12" i="21"/>
  <c r="X13" i="21"/>
  <c r="X14" i="21"/>
  <c r="X15" i="21"/>
  <c r="X16" i="21"/>
  <c r="X17" i="21"/>
  <c r="X18" i="21"/>
  <c r="X9" i="21"/>
  <c r="V171" i="4" l="1"/>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170" i="4"/>
  <c r="V140" i="4"/>
  <c r="V141" i="4"/>
  <c r="V142" i="4"/>
  <c r="V143" i="4"/>
  <c r="V144" i="4"/>
  <c r="V145" i="4"/>
  <c r="V146" i="4"/>
  <c r="V147" i="4"/>
  <c r="V148" i="4"/>
  <c r="V149" i="4"/>
  <c r="V150" i="4"/>
  <c r="V151" i="4"/>
  <c r="V152" i="4"/>
  <c r="V153" i="4"/>
  <c r="V154" i="4"/>
  <c r="V155" i="4"/>
  <c r="V156" i="4"/>
  <c r="V157" i="4"/>
  <c r="V158" i="4"/>
  <c r="V159" i="4"/>
  <c r="V160" i="4"/>
  <c r="V161" i="4"/>
  <c r="V135" i="4"/>
  <c r="V136" i="4"/>
  <c r="V137" i="4"/>
  <c r="V138" i="4"/>
  <c r="V139" i="4"/>
  <c r="V134" i="4"/>
  <c r="V118" i="4"/>
  <c r="V119" i="4"/>
  <c r="V120" i="4"/>
  <c r="V121" i="4"/>
  <c r="V122" i="4"/>
  <c r="V123" i="4"/>
  <c r="V124" i="4"/>
  <c r="V125" i="4"/>
  <c r="V126" i="4"/>
  <c r="V117" i="4"/>
  <c r="V99" i="4"/>
  <c r="V100" i="4"/>
  <c r="V101" i="4"/>
  <c r="V102" i="4"/>
  <c r="V103" i="4"/>
  <c r="V104" i="4"/>
  <c r="V105" i="4"/>
  <c r="V106" i="4"/>
  <c r="V107" i="4"/>
  <c r="V108" i="4"/>
  <c r="V109" i="4"/>
  <c r="V110" i="4"/>
  <c r="V111" i="4"/>
  <c r="V112" i="4"/>
  <c r="V98" i="4"/>
  <c r="V83" i="4"/>
  <c r="V84" i="4"/>
  <c r="V85" i="4"/>
  <c r="V86" i="4"/>
  <c r="V87" i="4"/>
  <c r="V88" i="4"/>
  <c r="V89" i="4"/>
  <c r="V90" i="4"/>
  <c r="V91" i="4"/>
  <c r="V92" i="4"/>
  <c r="V93" i="4"/>
  <c r="V94" i="4"/>
  <c r="V95" i="4"/>
  <c r="V96" i="4"/>
  <c r="V82" i="4"/>
  <c r="V76" i="4"/>
  <c r="V77" i="4"/>
  <c r="V69" i="4"/>
  <c r="V70" i="4"/>
  <c r="V71" i="4"/>
  <c r="V72" i="4"/>
  <c r="V73" i="4"/>
  <c r="V74" i="4"/>
  <c r="V75" i="4"/>
  <c r="V68" i="4"/>
  <c r="V51" i="4"/>
  <c r="V52" i="4"/>
  <c r="V53" i="4"/>
  <c r="V54" i="4"/>
  <c r="V55" i="4"/>
  <c r="V56" i="4"/>
  <c r="V57" i="4"/>
  <c r="V58" i="4"/>
  <c r="V59" i="4"/>
  <c r="V60" i="4"/>
  <c r="V61" i="4"/>
  <c r="V62" i="4"/>
  <c r="V63" i="4"/>
  <c r="V64" i="4"/>
  <c r="V65" i="4"/>
  <c r="V66" i="4"/>
  <c r="V67" i="4"/>
  <c r="V80" i="4"/>
  <c r="V81" i="4"/>
  <c r="V50" i="4"/>
  <c r="V16" i="4"/>
  <c r="V17" i="4"/>
  <c r="V18" i="4"/>
  <c r="V19" i="4"/>
  <c r="V20" i="4"/>
  <c r="V21" i="4"/>
  <c r="V22" i="4"/>
  <c r="V23" i="4"/>
  <c r="V24" i="4"/>
  <c r="V25" i="4"/>
  <c r="V26" i="4"/>
  <c r="V27" i="4"/>
  <c r="V28" i="4"/>
  <c r="V29" i="4"/>
  <c r="V30" i="4"/>
  <c r="V31" i="4"/>
  <c r="V32" i="4"/>
  <c r="V33" i="4"/>
  <c r="V34" i="4"/>
  <c r="V35" i="4"/>
  <c r="V36" i="4"/>
  <c r="V37" i="4"/>
  <c r="V38" i="4"/>
  <c r="V39" i="4"/>
  <c r="V40" i="4"/>
  <c r="V9" i="4"/>
  <c r="V10" i="4"/>
  <c r="V11" i="4"/>
  <c r="V12" i="4"/>
  <c r="V13" i="4"/>
  <c r="V14" i="4"/>
  <c r="V15" i="4"/>
  <c r="V8" i="4"/>
  <c r="C20" i="35" l="1"/>
  <c r="X126" i="22" l="1"/>
  <c r="X127" i="22"/>
  <c r="X128" i="22"/>
  <c r="X129" i="22"/>
  <c r="X130" i="22"/>
  <c r="X131" i="22"/>
  <c r="X133" i="22"/>
  <c r="X134" i="22"/>
  <c r="X135" i="22"/>
  <c r="X136" i="22"/>
  <c r="X137" i="22"/>
  <c r="X138" i="22"/>
  <c r="X139" i="22"/>
  <c r="X140" i="22"/>
  <c r="X141" i="22"/>
  <c r="X142" i="22"/>
  <c r="X143" i="22"/>
  <c r="X144" i="22"/>
  <c r="X145" i="22"/>
  <c r="X146" i="22"/>
  <c r="X147" i="22"/>
  <c r="X151" i="22"/>
  <c r="X152" i="22"/>
  <c r="X153" i="22"/>
  <c r="X154" i="22"/>
  <c r="X155" i="22"/>
  <c r="X156" i="22"/>
  <c r="X157" i="22"/>
  <c r="X158" i="22"/>
  <c r="X159" i="22"/>
  <c r="X161" i="22"/>
  <c r="X162" i="22"/>
  <c r="X163" i="22"/>
  <c r="X164" i="22"/>
  <c r="X165" i="22"/>
  <c r="X166" i="22"/>
  <c r="X167" i="22"/>
  <c r="X168" i="22"/>
  <c r="X169" i="22"/>
  <c r="X170" i="22"/>
  <c r="X173" i="22"/>
  <c r="X174" i="22"/>
  <c r="X175" i="22"/>
  <c r="X176" i="22"/>
  <c r="X177" i="22"/>
  <c r="X178" i="22"/>
  <c r="X179" i="22"/>
  <c r="X180" i="22"/>
  <c r="X125" i="22"/>
  <c r="X99" i="22"/>
  <c r="X100" i="22"/>
  <c r="X101" i="22"/>
  <c r="X102" i="22"/>
  <c r="X103" i="22"/>
  <c r="X104" i="22"/>
  <c r="X105" i="22"/>
  <c r="X106" i="22"/>
  <c r="X107" i="22"/>
  <c r="X108" i="22"/>
  <c r="X109" i="22"/>
  <c r="X110" i="22"/>
  <c r="X111" i="22"/>
  <c r="X112" i="22"/>
  <c r="X113" i="22"/>
  <c r="X114" i="22"/>
  <c r="X115" i="22"/>
  <c r="X116" i="22"/>
  <c r="X117" i="22"/>
  <c r="X98" i="22"/>
  <c r="X268" i="22" l="1"/>
  <c r="X258" i="22"/>
  <c r="X256" i="22"/>
  <c r="X249" i="22"/>
  <c r="X236" i="22"/>
  <c r="X220" i="22"/>
  <c r="X195" i="22"/>
  <c r="X199" i="22" l="1"/>
  <c r="X237" i="22"/>
  <c r="X259" i="22"/>
  <c r="X269" i="22" l="1"/>
  <c r="X202" i="22"/>
  <c r="H50" i="8"/>
  <c r="I50" i="8" s="1"/>
  <c r="G50" i="8"/>
  <c r="F50" i="8"/>
  <c r="E50" i="8"/>
  <c r="D50" i="8"/>
  <c r="C50" i="8"/>
  <c r="I48" i="8"/>
  <c r="I47" i="8"/>
  <c r="I46" i="8"/>
  <c r="I45" i="8"/>
  <c r="I36" i="8"/>
  <c r="I35" i="8"/>
  <c r="I34" i="8"/>
  <c r="I33" i="8"/>
  <c r="I30" i="8"/>
  <c r="I29" i="8"/>
  <c r="I28" i="8"/>
  <c r="I27" i="8"/>
  <c r="I26" i="8"/>
  <c r="I25" i="8"/>
  <c r="I22" i="8"/>
  <c r="I21" i="8"/>
  <c r="I20" i="8"/>
  <c r="I19" i="8"/>
  <c r="I18" i="8"/>
  <c r="I15" i="8"/>
  <c r="I14" i="8"/>
  <c r="I13" i="8"/>
  <c r="I12" i="8"/>
  <c r="I11" i="8"/>
  <c r="I10" i="8"/>
  <c r="I9" i="8"/>
  <c r="X205" i="22" l="1"/>
  <c r="D36" i="16"/>
  <c r="E36" i="16"/>
  <c r="F36" i="16"/>
  <c r="G36" i="16"/>
  <c r="D37" i="16"/>
  <c r="E37" i="16"/>
  <c r="F37" i="16"/>
  <c r="G37" i="16"/>
  <c r="C37" i="16"/>
  <c r="C36" i="16"/>
  <c r="D28" i="16"/>
  <c r="E28" i="16"/>
  <c r="F28" i="16"/>
  <c r="G28" i="16"/>
  <c r="H28" i="16"/>
  <c r="C28" i="16"/>
  <c r="D26" i="16"/>
  <c r="E26" i="16"/>
  <c r="F26" i="16"/>
  <c r="G26" i="16"/>
  <c r="H26" i="16"/>
  <c r="C26" i="16"/>
  <c r="D17" i="16"/>
  <c r="E17" i="16"/>
  <c r="F17" i="16"/>
  <c r="G17" i="16"/>
  <c r="H17" i="16"/>
  <c r="D18" i="16"/>
  <c r="E18" i="16"/>
  <c r="F18" i="16"/>
  <c r="G18" i="16"/>
  <c r="H18" i="16"/>
  <c r="D19" i="16"/>
  <c r="E19" i="16"/>
  <c r="F19" i="16"/>
  <c r="G19" i="16"/>
  <c r="H19" i="16"/>
  <c r="D20" i="16"/>
  <c r="E20" i="16"/>
  <c r="F20" i="16"/>
  <c r="G20" i="16"/>
  <c r="H20" i="16"/>
  <c r="D21" i="16"/>
  <c r="E21" i="16"/>
  <c r="F21" i="16"/>
  <c r="G21" i="16"/>
  <c r="H21" i="16"/>
  <c r="D22" i="16"/>
  <c r="E22" i="16"/>
  <c r="F22" i="16"/>
  <c r="G22" i="16"/>
  <c r="H22" i="16"/>
  <c r="D23" i="16"/>
  <c r="E23" i="16"/>
  <c r="F23" i="16"/>
  <c r="G23" i="16"/>
  <c r="H23" i="16"/>
  <c r="D24" i="16"/>
  <c r="E24" i="16"/>
  <c r="F24" i="16"/>
  <c r="G24" i="16"/>
  <c r="H24" i="16"/>
  <c r="D25" i="16"/>
  <c r="E25" i="16"/>
  <c r="F25" i="16"/>
  <c r="G25" i="16"/>
  <c r="H25" i="16"/>
  <c r="C18" i="16"/>
  <c r="C19" i="16"/>
  <c r="C20" i="16"/>
  <c r="C21" i="16"/>
  <c r="C22" i="16"/>
  <c r="C23" i="16"/>
  <c r="C24" i="16"/>
  <c r="C25" i="16"/>
  <c r="C17" i="16"/>
  <c r="D14" i="16"/>
  <c r="E14" i="16"/>
  <c r="F14" i="16"/>
  <c r="G14" i="16"/>
  <c r="H14" i="16"/>
  <c r="C14" i="16"/>
  <c r="D10" i="16"/>
  <c r="E10" i="16"/>
  <c r="F10" i="16"/>
  <c r="G10" i="16"/>
  <c r="H10" i="16"/>
  <c r="D11" i="16"/>
  <c r="E11" i="16"/>
  <c r="F11" i="16"/>
  <c r="G11" i="16"/>
  <c r="H11" i="16"/>
  <c r="D12" i="16"/>
  <c r="E12" i="16"/>
  <c r="F12" i="16"/>
  <c r="G12" i="16"/>
  <c r="H12" i="16"/>
  <c r="D13" i="16"/>
  <c r="E13" i="16"/>
  <c r="F13" i="16"/>
  <c r="G13" i="16"/>
  <c r="H13" i="16"/>
  <c r="C11" i="16"/>
  <c r="C12" i="16"/>
  <c r="C13" i="16"/>
  <c r="C10" i="16"/>
  <c r="G49" i="23" l="1"/>
  <c r="G12" i="23"/>
  <c r="G43" i="23" s="1"/>
  <c r="D12" i="23"/>
  <c r="D43" i="23" s="1"/>
  <c r="D11" i="19" l="1"/>
  <c r="E11" i="19"/>
  <c r="F11" i="19"/>
  <c r="G11" i="19"/>
  <c r="H11" i="19"/>
  <c r="I11" i="19"/>
  <c r="J11" i="19"/>
  <c r="K11" i="19"/>
  <c r="L11" i="19"/>
  <c r="M11" i="19"/>
  <c r="N11" i="19"/>
  <c r="C11" i="19"/>
  <c r="W268" i="22" l="1"/>
  <c r="W258" i="22"/>
  <c r="W249" i="22"/>
  <c r="W259" i="22" s="1"/>
  <c r="W236" i="22"/>
  <c r="W220" i="22"/>
  <c r="W237" i="22" s="1"/>
  <c r="W269" i="22" l="1"/>
  <c r="W178" i="21" l="1"/>
  <c r="W185" i="21" s="1"/>
  <c r="W190" i="21" s="1"/>
  <c r="W193" i="21" s="1"/>
  <c r="W196" i="21" s="1"/>
  <c r="W166" i="21"/>
  <c r="W157" i="21"/>
  <c r="W150" i="21"/>
  <c r="W139" i="21"/>
  <c r="W131" i="21"/>
  <c r="W140" i="21" l="1"/>
  <c r="W158" i="21"/>
  <c r="W167" i="21" s="1"/>
  <c r="V14" i="6" l="1"/>
  <c r="V15" i="6"/>
  <c r="V16" i="6"/>
  <c r="V13" i="6"/>
  <c r="I13" i="31"/>
  <c r="I14" i="31"/>
  <c r="I15" i="31"/>
  <c r="I12" i="31"/>
  <c r="V21" i="7"/>
  <c r="V23" i="7"/>
  <c r="V24" i="7"/>
  <c r="V20" i="7"/>
  <c r="V17" i="7"/>
  <c r="V16" i="7"/>
  <c r="V10" i="7"/>
  <c r="V11" i="7"/>
  <c r="V12" i="7"/>
  <c r="V9" i="7"/>
  <c r="V14" i="21"/>
  <c r="V15" i="21"/>
  <c r="V16" i="21"/>
  <c r="V13" i="21"/>
  <c r="T252" i="4" l="1"/>
  <c r="T238" i="4"/>
  <c r="T220" i="4"/>
  <c r="T199" i="4"/>
  <c r="T200" i="4" s="1"/>
  <c r="T195" i="4"/>
  <c r="T182" i="4"/>
  <c r="T156" i="4"/>
  <c r="T146" i="4"/>
  <c r="T139" i="4"/>
  <c r="T145" i="4" s="1"/>
  <c r="T138" i="4"/>
  <c r="T134" i="4"/>
  <c r="T76" i="4"/>
  <c r="T77" i="4" s="1"/>
  <c r="T61" i="4"/>
  <c r="T34" i="4"/>
  <c r="T24" i="4"/>
  <c r="T16" i="4"/>
  <c r="T15" i="4"/>
  <c r="T23" i="4" s="1"/>
  <c r="T8" i="4"/>
  <c r="T152" i="4" l="1"/>
  <c r="T155" i="4" s="1"/>
  <c r="T159" i="4" s="1"/>
  <c r="T161" i="4" s="1"/>
  <c r="T253" i="4"/>
  <c r="T30" i="4"/>
  <c r="T33" i="4" s="1"/>
  <c r="T38" i="4" s="1"/>
  <c r="T40" i="4" s="1"/>
  <c r="S8" i="4"/>
  <c r="T106" i="22" l="1"/>
  <c r="T104" i="22"/>
  <c r="T16" i="22" l="1"/>
  <c r="T21" i="22" s="1"/>
  <c r="T24" i="22" s="1"/>
  <c r="T27" i="22" s="1"/>
  <c r="T88" i="22"/>
  <c r="T78" i="22"/>
  <c r="T69" i="22"/>
  <c r="T79" i="22" s="1"/>
  <c r="T89" i="22" s="1"/>
  <c r="T57" i="22"/>
  <c r="T42" i="22"/>
  <c r="T58" i="22" s="1"/>
  <c r="T108" i="2" l="1"/>
  <c r="T106" i="2"/>
  <c r="T96" i="2"/>
  <c r="T86" i="2"/>
  <c r="T97" i="2" s="1"/>
  <c r="T109" i="2" s="1"/>
  <c r="T73" i="2"/>
  <c r="T56" i="2"/>
  <c r="T74" i="2" s="1"/>
  <c r="T268" i="22" l="1"/>
  <c r="T258" i="22"/>
  <c r="T249" i="22"/>
  <c r="T259" i="22" s="1"/>
  <c r="T269" i="22" s="1"/>
  <c r="T236" i="22"/>
  <c r="T220" i="22"/>
  <c r="T194" i="22"/>
  <c r="T199" i="22" s="1"/>
  <c r="T202" i="22" s="1"/>
  <c r="T205" i="22" s="1"/>
  <c r="T237" i="22" l="1"/>
  <c r="T249" i="21"/>
  <c r="T240" i="21"/>
  <c r="T234" i="21"/>
  <c r="T241" i="21" s="1"/>
  <c r="T219" i="21"/>
  <c r="T212" i="21"/>
  <c r="T184" i="21"/>
  <c r="T185" i="21" s="1"/>
  <c r="T190" i="21" s="1"/>
  <c r="T193" i="21" s="1"/>
  <c r="T196" i="21" s="1"/>
  <c r="T166" i="21"/>
  <c r="T157" i="21"/>
  <c r="T150" i="21"/>
  <c r="T139" i="21"/>
  <c r="T131" i="21"/>
  <c r="T140" i="21" s="1"/>
  <c r="T104" i="21"/>
  <c r="T98" i="21"/>
  <c r="T86" i="21"/>
  <c r="T76" i="21"/>
  <c r="T69" i="21"/>
  <c r="T59" i="21"/>
  <c r="T48" i="21"/>
  <c r="T60" i="21" s="1"/>
  <c r="T22" i="21"/>
  <c r="T17" i="21"/>
  <c r="T18" i="21" s="1"/>
  <c r="T23" i="21" s="1"/>
  <c r="T26" i="21" s="1"/>
  <c r="T29" i="21" s="1"/>
  <c r="T77" i="21" l="1"/>
  <c r="T87" i="21" s="1"/>
  <c r="T158" i="21"/>
  <c r="T220" i="21"/>
  <c r="T250" i="21"/>
  <c r="T105" i="21"/>
  <c r="T110" i="21" s="1"/>
  <c r="T113" i="21" s="1"/>
  <c r="T116" i="21" s="1"/>
  <c r="T167" i="21"/>
  <c r="P11" i="2" l="1"/>
  <c r="H21" i="37" l="1"/>
  <c r="G21" i="37"/>
  <c r="F21" i="37"/>
  <c r="E21" i="37"/>
  <c r="D21" i="37"/>
  <c r="C21" i="37"/>
  <c r="H17" i="37"/>
  <c r="G17" i="37"/>
  <c r="F17" i="37"/>
  <c r="E17" i="37"/>
  <c r="D17" i="37"/>
  <c r="C17" i="37"/>
  <c r="H13" i="37"/>
  <c r="G13" i="37"/>
  <c r="F13" i="37"/>
  <c r="E13" i="37"/>
  <c r="D13" i="37"/>
  <c r="C13" i="37"/>
  <c r="H9" i="37"/>
  <c r="G9" i="37"/>
  <c r="F9" i="37"/>
  <c r="E9" i="37"/>
  <c r="D9" i="37"/>
  <c r="C9" i="37"/>
  <c r="H7" i="37"/>
  <c r="G7" i="37"/>
  <c r="F7" i="37"/>
  <c r="E7" i="37"/>
  <c r="D7" i="37"/>
  <c r="C7" i="37"/>
  <c r="H6" i="37"/>
  <c r="H5" i="37" s="1"/>
  <c r="G6" i="37"/>
  <c r="G5" i="37" s="1"/>
  <c r="F6" i="37"/>
  <c r="F5" i="37" s="1"/>
  <c r="E6" i="37"/>
  <c r="E5" i="37" s="1"/>
  <c r="D6" i="37"/>
  <c r="C6" i="37"/>
  <c r="C5" i="37" s="1"/>
  <c r="D5" i="37"/>
  <c r="S15" i="4" l="1"/>
  <c r="R15" i="4"/>
  <c r="S87" i="22" l="1"/>
  <c r="S88" i="22" s="1"/>
  <c r="S78" i="22"/>
  <c r="S63" i="22"/>
  <c r="S69" i="22" s="1"/>
  <c r="S79" i="22" s="1"/>
  <c r="S89" i="22" s="1"/>
  <c r="S57" i="22"/>
  <c r="S42" i="22"/>
  <c r="Q88" i="22"/>
  <c r="Q78" i="22"/>
  <c r="Q69" i="22"/>
  <c r="Q57" i="22"/>
  <c r="Q42" i="22"/>
  <c r="Q58" i="22" l="1"/>
  <c r="Q79" i="22"/>
  <c r="S58" i="22"/>
  <c r="Q89" i="22"/>
  <c r="S16" i="22"/>
  <c r="S21" i="22" s="1"/>
  <c r="S24" i="22" s="1"/>
  <c r="S27" i="22" s="1"/>
  <c r="Q16" i="22"/>
  <c r="Q21" i="22" s="1"/>
  <c r="Q24" i="22" s="1"/>
  <c r="Q27" i="22" s="1"/>
  <c r="O23" i="22"/>
  <c r="N23" i="22"/>
  <c r="O19" i="22"/>
  <c r="O21" i="22" s="1"/>
  <c r="N19" i="22"/>
  <c r="N21" i="22" s="1"/>
  <c r="N24" i="22" s="1"/>
  <c r="N27" i="22" s="1"/>
  <c r="M19" i="22"/>
  <c r="M21" i="22" s="1"/>
  <c r="M24" i="22" s="1"/>
  <c r="M27" i="22" s="1"/>
  <c r="O24" i="22" l="1"/>
  <c r="O27" i="22" s="1"/>
  <c r="S21" i="2"/>
  <c r="S19" i="2"/>
  <c r="S11" i="2"/>
  <c r="S22" i="2" s="1"/>
  <c r="S27" i="2" s="1"/>
  <c r="S30" i="2" s="1"/>
  <c r="S33" i="2" s="1"/>
  <c r="S36" i="2" s="1"/>
  <c r="N35" i="2"/>
  <c r="M35" i="2"/>
  <c r="N32" i="2"/>
  <c r="M32" i="2"/>
  <c r="O26" i="2"/>
  <c r="O25" i="2"/>
  <c r="N25" i="2"/>
  <c r="M25" i="2"/>
  <c r="O24" i="2"/>
  <c r="M21" i="2"/>
  <c r="N20" i="2"/>
  <c r="N21" i="2" s="1"/>
  <c r="O13" i="2"/>
  <c r="O21" i="2" s="1"/>
  <c r="O22" i="2" s="1"/>
  <c r="O27" i="2" s="1"/>
  <c r="O30" i="2" s="1"/>
  <c r="O33" i="2" s="1"/>
  <c r="O36" i="2" s="1"/>
  <c r="N13" i="2"/>
  <c r="M13" i="2"/>
  <c r="O11" i="2"/>
  <c r="N9" i="2"/>
  <c r="N11" i="2" s="1"/>
  <c r="N22" i="2" s="1"/>
  <c r="N27" i="2" s="1"/>
  <c r="N30" i="2" s="1"/>
  <c r="N33" i="2" s="1"/>
  <c r="N36" i="2" s="1"/>
  <c r="M9" i="2"/>
  <c r="M11" i="2" s="1"/>
  <c r="M22" i="2" s="1"/>
  <c r="M27" i="2" s="1"/>
  <c r="M30" i="2" s="1"/>
  <c r="M33" i="2" s="1"/>
  <c r="M36" i="2" s="1"/>
  <c r="S108" i="2" l="1"/>
  <c r="S106" i="2"/>
  <c r="S96" i="2"/>
  <c r="S86" i="2"/>
  <c r="S97" i="2" s="1"/>
  <c r="S109" i="2" s="1"/>
  <c r="S73" i="2"/>
  <c r="S56" i="2"/>
  <c r="S74" i="2" s="1"/>
  <c r="P105" i="2"/>
  <c r="P106" i="2" s="1"/>
  <c r="P108" i="2" s="1"/>
  <c r="P96" i="2"/>
  <c r="P86" i="2"/>
  <c r="P97" i="2" s="1"/>
  <c r="P72" i="2"/>
  <c r="P64" i="2"/>
  <c r="P73" i="2" s="1"/>
  <c r="P74" i="2" s="1"/>
  <c r="P56" i="2"/>
  <c r="S110" i="2" l="1"/>
  <c r="P109" i="2"/>
  <c r="P110" i="2" s="1"/>
  <c r="F16" i="31" l="1"/>
  <c r="F10" i="31"/>
  <c r="F17" i="31" l="1"/>
  <c r="F22" i="31" s="1"/>
  <c r="F25" i="31" s="1"/>
  <c r="F28" i="31" s="1"/>
  <c r="F92" i="31"/>
  <c r="F81" i="31"/>
  <c r="F82" i="31" s="1"/>
  <c r="F72" i="31"/>
  <c r="F83" i="31" s="1"/>
  <c r="F93" i="31" s="1"/>
  <c r="F59" i="31"/>
  <c r="F43" i="31"/>
  <c r="F60" i="31" s="1"/>
  <c r="S252" i="4" l="1"/>
  <c r="S238" i="4"/>
  <c r="S220" i="4"/>
  <c r="S199" i="4"/>
  <c r="S195" i="4"/>
  <c r="S182" i="4"/>
  <c r="S161" i="4"/>
  <c r="S156" i="4"/>
  <c r="S146" i="4"/>
  <c r="S139" i="4"/>
  <c r="S138" i="4"/>
  <c r="S134" i="4"/>
  <c r="S124" i="4"/>
  <c r="S112" i="4"/>
  <c r="S96" i="4"/>
  <c r="S76" i="4"/>
  <c r="S61" i="4"/>
  <c r="S34" i="4"/>
  <c r="S24" i="4"/>
  <c r="S16" i="4"/>
  <c r="S23" i="4"/>
  <c r="S30" i="4" l="1"/>
  <c r="S33" i="4" s="1"/>
  <c r="S38" i="4" s="1"/>
  <c r="S40" i="4" s="1"/>
  <c r="S253" i="4"/>
  <c r="S77" i="4"/>
  <c r="S200" i="4"/>
  <c r="S145" i="4"/>
  <c r="S152" i="4" s="1"/>
  <c r="S155" i="4" s="1"/>
  <c r="S126" i="4"/>
  <c r="S254" i="4" l="1"/>
  <c r="R252" i="4" l="1"/>
  <c r="Q252" i="4"/>
  <c r="P252" i="4"/>
  <c r="O252" i="4"/>
  <c r="N252" i="4"/>
  <c r="M252" i="4"/>
  <c r="L252" i="4"/>
  <c r="K252" i="4"/>
  <c r="J252" i="4"/>
  <c r="I252" i="4"/>
  <c r="H252" i="4"/>
  <c r="G252" i="4"/>
  <c r="F252" i="4"/>
  <c r="E252" i="4"/>
  <c r="D252" i="4"/>
  <c r="C252" i="4"/>
  <c r="R238" i="4"/>
  <c r="Q238" i="4"/>
  <c r="P238" i="4"/>
  <c r="O238" i="4"/>
  <c r="N238" i="4"/>
  <c r="M238" i="4"/>
  <c r="L238" i="4"/>
  <c r="K238" i="4"/>
  <c r="J238" i="4"/>
  <c r="I238" i="4"/>
  <c r="H238" i="4"/>
  <c r="G238" i="4"/>
  <c r="F238" i="4"/>
  <c r="E238" i="4"/>
  <c r="D238" i="4"/>
  <c r="C238" i="4"/>
  <c r="R220" i="4"/>
  <c r="Q220" i="4"/>
  <c r="P220" i="4"/>
  <c r="O220" i="4"/>
  <c r="N220" i="4"/>
  <c r="M220" i="4"/>
  <c r="L220" i="4"/>
  <c r="K220" i="4"/>
  <c r="J220" i="4"/>
  <c r="I220" i="4"/>
  <c r="H220" i="4"/>
  <c r="G220" i="4"/>
  <c r="F220" i="4"/>
  <c r="F253" i="4" s="1"/>
  <c r="E220" i="4"/>
  <c r="D220" i="4"/>
  <c r="C220" i="4"/>
  <c r="R199" i="4"/>
  <c r="Q199" i="4"/>
  <c r="P199" i="4"/>
  <c r="O199" i="4"/>
  <c r="N199" i="4"/>
  <c r="M199" i="4"/>
  <c r="L199" i="4"/>
  <c r="K199" i="4"/>
  <c r="J199" i="4"/>
  <c r="I199" i="4"/>
  <c r="H199" i="4"/>
  <c r="G199" i="4"/>
  <c r="F199" i="4"/>
  <c r="E199" i="4"/>
  <c r="D199" i="4"/>
  <c r="C199" i="4"/>
  <c r="R195" i="4"/>
  <c r="Q195" i="4"/>
  <c r="P195" i="4"/>
  <c r="O195" i="4"/>
  <c r="N195" i="4"/>
  <c r="M195" i="4"/>
  <c r="L195" i="4"/>
  <c r="K195" i="4"/>
  <c r="J195" i="4"/>
  <c r="I195" i="4"/>
  <c r="H195" i="4"/>
  <c r="G195" i="4"/>
  <c r="F195" i="4"/>
  <c r="E195" i="4"/>
  <c r="D195" i="4"/>
  <c r="C195" i="4"/>
  <c r="R182" i="4"/>
  <c r="Q182" i="4"/>
  <c r="P182" i="4"/>
  <c r="O182" i="4"/>
  <c r="N182" i="4"/>
  <c r="M182" i="4"/>
  <c r="L182" i="4"/>
  <c r="K182" i="4"/>
  <c r="J182" i="4"/>
  <c r="I182" i="4"/>
  <c r="H182" i="4"/>
  <c r="G182" i="4"/>
  <c r="F182" i="4"/>
  <c r="E182" i="4"/>
  <c r="D182" i="4"/>
  <c r="C182" i="4"/>
  <c r="Q156" i="4"/>
  <c r="P156" i="4"/>
  <c r="O156" i="4"/>
  <c r="N156" i="4"/>
  <c r="M156" i="4"/>
  <c r="L156" i="4"/>
  <c r="K156" i="4"/>
  <c r="J156" i="4"/>
  <c r="I156" i="4"/>
  <c r="H156" i="4"/>
  <c r="G156" i="4"/>
  <c r="F156" i="4"/>
  <c r="E156" i="4"/>
  <c r="D156" i="4"/>
  <c r="C156" i="4"/>
  <c r="Q146" i="4"/>
  <c r="P146" i="4"/>
  <c r="O146" i="4"/>
  <c r="N146" i="4"/>
  <c r="M146" i="4"/>
  <c r="L146" i="4"/>
  <c r="K146" i="4"/>
  <c r="J146" i="4"/>
  <c r="I146" i="4"/>
  <c r="H146" i="4"/>
  <c r="G146" i="4"/>
  <c r="F146" i="4"/>
  <c r="D146" i="4"/>
  <c r="C146" i="4"/>
  <c r="R139" i="4"/>
  <c r="Q139" i="4"/>
  <c r="P139" i="4"/>
  <c r="O139" i="4"/>
  <c r="N139" i="4"/>
  <c r="M139" i="4"/>
  <c r="L139" i="4"/>
  <c r="K139" i="4"/>
  <c r="J139" i="4"/>
  <c r="I139" i="4"/>
  <c r="H139" i="4"/>
  <c r="G139" i="4"/>
  <c r="F139" i="4"/>
  <c r="E139" i="4"/>
  <c r="D139" i="4"/>
  <c r="C139" i="4"/>
  <c r="R138" i="4"/>
  <c r="R145" i="4" s="1"/>
  <c r="R152" i="4" s="1"/>
  <c r="R155" i="4" s="1"/>
  <c r="R159" i="4" s="1"/>
  <c r="R161" i="4" s="1"/>
  <c r="Q138" i="4"/>
  <c r="Q145" i="4" s="1"/>
  <c r="P138" i="4"/>
  <c r="P145" i="4" s="1"/>
  <c r="O138" i="4"/>
  <c r="O145" i="4" s="1"/>
  <c r="N138" i="4"/>
  <c r="N145" i="4" s="1"/>
  <c r="N152" i="4" s="1"/>
  <c r="N155" i="4" s="1"/>
  <c r="N159" i="4" s="1"/>
  <c r="N161" i="4" s="1"/>
  <c r="M138" i="4"/>
  <c r="M145" i="4" s="1"/>
  <c r="M152" i="4" s="1"/>
  <c r="M155" i="4" s="1"/>
  <c r="L138" i="4"/>
  <c r="L145" i="4" s="1"/>
  <c r="K138" i="4"/>
  <c r="K145" i="4" s="1"/>
  <c r="J138" i="4"/>
  <c r="J145" i="4" s="1"/>
  <c r="I138" i="4"/>
  <c r="I145" i="4" s="1"/>
  <c r="H138" i="4"/>
  <c r="H145" i="4" s="1"/>
  <c r="G138" i="4"/>
  <c r="G145" i="4" s="1"/>
  <c r="F138" i="4"/>
  <c r="F145" i="4" s="1"/>
  <c r="F152" i="4" s="1"/>
  <c r="F155" i="4" s="1"/>
  <c r="F159" i="4" s="1"/>
  <c r="F161" i="4" s="1"/>
  <c r="E138" i="4"/>
  <c r="E145" i="4" s="1"/>
  <c r="E152" i="4" s="1"/>
  <c r="E155" i="4" s="1"/>
  <c r="D138" i="4"/>
  <c r="D145" i="4" s="1"/>
  <c r="D152" i="4" s="1"/>
  <c r="D155" i="4" s="1"/>
  <c r="C138" i="4"/>
  <c r="C145" i="4" s="1"/>
  <c r="C152" i="4" s="1"/>
  <c r="C155" i="4" s="1"/>
  <c r="Q134" i="4"/>
  <c r="P134" i="4"/>
  <c r="O134" i="4"/>
  <c r="N134" i="4"/>
  <c r="M134" i="4"/>
  <c r="L134" i="4"/>
  <c r="K134" i="4"/>
  <c r="J134" i="4"/>
  <c r="I134" i="4"/>
  <c r="H134" i="4"/>
  <c r="G134" i="4"/>
  <c r="F134" i="4"/>
  <c r="E134" i="4"/>
  <c r="R124" i="4"/>
  <c r="Q124" i="4"/>
  <c r="P124" i="4"/>
  <c r="O124" i="4"/>
  <c r="N124" i="4"/>
  <c r="M124" i="4"/>
  <c r="L124" i="4"/>
  <c r="K124" i="4"/>
  <c r="J124" i="4"/>
  <c r="I124" i="4"/>
  <c r="H124" i="4"/>
  <c r="G124" i="4"/>
  <c r="F124" i="4"/>
  <c r="E124" i="4"/>
  <c r="D124" i="4"/>
  <c r="C124" i="4"/>
  <c r="R112" i="4"/>
  <c r="Q112" i="4"/>
  <c r="P112" i="4"/>
  <c r="O112" i="4"/>
  <c r="N112" i="4"/>
  <c r="M112" i="4"/>
  <c r="L112" i="4"/>
  <c r="K112" i="4"/>
  <c r="J112" i="4"/>
  <c r="I112" i="4"/>
  <c r="H112" i="4"/>
  <c r="G112" i="4"/>
  <c r="F112" i="4"/>
  <c r="E112" i="4"/>
  <c r="D112" i="4"/>
  <c r="C112" i="4"/>
  <c r="R96" i="4"/>
  <c r="Q96" i="4"/>
  <c r="P96" i="4"/>
  <c r="O96" i="4"/>
  <c r="N96" i="4"/>
  <c r="M96" i="4"/>
  <c r="L96" i="4"/>
  <c r="K96" i="4"/>
  <c r="J96" i="4"/>
  <c r="I96" i="4"/>
  <c r="H96" i="4"/>
  <c r="G96" i="4"/>
  <c r="F96" i="4"/>
  <c r="E96" i="4"/>
  <c r="D96" i="4"/>
  <c r="C96" i="4"/>
  <c r="R76" i="4"/>
  <c r="Q76" i="4"/>
  <c r="P76" i="4"/>
  <c r="O76" i="4"/>
  <c r="N76" i="4"/>
  <c r="M76" i="4"/>
  <c r="L76" i="4"/>
  <c r="K76" i="4"/>
  <c r="J76" i="4"/>
  <c r="I76" i="4"/>
  <c r="H76" i="4"/>
  <c r="G76" i="4"/>
  <c r="F76" i="4"/>
  <c r="E76" i="4"/>
  <c r="D76" i="4"/>
  <c r="C76" i="4"/>
  <c r="R61" i="4"/>
  <c r="Q61" i="4"/>
  <c r="P61" i="4"/>
  <c r="O61" i="4"/>
  <c r="N61" i="4"/>
  <c r="M61" i="4"/>
  <c r="L61" i="4"/>
  <c r="K61" i="4"/>
  <c r="J61" i="4"/>
  <c r="I61" i="4"/>
  <c r="H61" i="4"/>
  <c r="G61" i="4"/>
  <c r="F61" i="4"/>
  <c r="E61" i="4"/>
  <c r="D61" i="4"/>
  <c r="C61" i="4"/>
  <c r="Q34" i="4"/>
  <c r="P34" i="4"/>
  <c r="O34" i="4"/>
  <c r="N34" i="4"/>
  <c r="M34" i="4"/>
  <c r="L34" i="4"/>
  <c r="K34" i="4"/>
  <c r="J34" i="4"/>
  <c r="I34" i="4"/>
  <c r="H34" i="4"/>
  <c r="G34" i="4"/>
  <c r="F34" i="4"/>
  <c r="E34" i="4"/>
  <c r="D34" i="4"/>
  <c r="C34" i="4"/>
  <c r="R24" i="4"/>
  <c r="Q24" i="4"/>
  <c r="P24" i="4"/>
  <c r="O24" i="4"/>
  <c r="N24" i="4"/>
  <c r="M24" i="4"/>
  <c r="L24" i="4"/>
  <c r="K24" i="4"/>
  <c r="J24" i="4"/>
  <c r="I24" i="4"/>
  <c r="H24" i="4"/>
  <c r="G24" i="4"/>
  <c r="F24" i="4"/>
  <c r="E24" i="4"/>
  <c r="D24" i="4"/>
  <c r="C24" i="4"/>
  <c r="Q16" i="4"/>
  <c r="P16" i="4"/>
  <c r="O16" i="4"/>
  <c r="N16" i="4"/>
  <c r="M16" i="4"/>
  <c r="L16" i="4"/>
  <c r="K16" i="4"/>
  <c r="J16" i="4"/>
  <c r="I16" i="4"/>
  <c r="H16" i="4"/>
  <c r="G16" i="4"/>
  <c r="F16" i="4"/>
  <c r="E16" i="4"/>
  <c r="D16" i="4"/>
  <c r="C16" i="4"/>
  <c r="R23" i="4"/>
  <c r="Q15" i="4"/>
  <c r="Q23" i="4" s="1"/>
  <c r="P15" i="4"/>
  <c r="P23" i="4" s="1"/>
  <c r="O15" i="4"/>
  <c r="O23" i="4" s="1"/>
  <c r="N15" i="4"/>
  <c r="M15" i="4"/>
  <c r="M23" i="4" s="1"/>
  <c r="L15" i="4"/>
  <c r="L23" i="4" s="1"/>
  <c r="K15" i="4"/>
  <c r="K23" i="4" s="1"/>
  <c r="J15" i="4"/>
  <c r="J23" i="4" s="1"/>
  <c r="I15" i="4"/>
  <c r="I23" i="4" s="1"/>
  <c r="H15" i="4"/>
  <c r="H23" i="4" s="1"/>
  <c r="G15" i="4"/>
  <c r="G23" i="4" s="1"/>
  <c r="F15" i="4"/>
  <c r="F23" i="4" s="1"/>
  <c r="E15" i="4"/>
  <c r="E23" i="4" s="1"/>
  <c r="D15" i="4"/>
  <c r="D23" i="4" s="1"/>
  <c r="C15" i="4"/>
  <c r="C23" i="4" s="1"/>
  <c r="Q8" i="4"/>
  <c r="P8" i="4"/>
  <c r="O8" i="4"/>
  <c r="N8" i="4"/>
  <c r="M8" i="4"/>
  <c r="L8" i="4"/>
  <c r="K8" i="4"/>
  <c r="H30" i="4" l="1"/>
  <c r="H33" i="4" s="1"/>
  <c r="H38" i="4" s="1"/>
  <c r="H40" i="4" s="1"/>
  <c r="J30" i="4"/>
  <c r="J33" i="4" s="1"/>
  <c r="J38" i="4" s="1"/>
  <c r="J40" i="4" s="1"/>
  <c r="G152" i="4"/>
  <c r="G155" i="4" s="1"/>
  <c r="G159" i="4" s="1"/>
  <c r="G161" i="4" s="1"/>
  <c r="C30" i="4"/>
  <c r="C33" i="4" s="1"/>
  <c r="C38" i="4" s="1"/>
  <c r="C40" i="4" s="1"/>
  <c r="K30" i="4"/>
  <c r="K33" i="4" s="1"/>
  <c r="K38" i="4" s="1"/>
  <c r="K40" i="4" s="1"/>
  <c r="H152" i="4"/>
  <c r="H155" i="4" s="1"/>
  <c r="H159" i="4" s="1"/>
  <c r="H161" i="4" s="1"/>
  <c r="P152" i="4"/>
  <c r="P155" i="4" s="1"/>
  <c r="P159" i="4" s="1"/>
  <c r="P161" i="4" s="1"/>
  <c r="G30" i="4"/>
  <c r="G33" i="4" s="1"/>
  <c r="G38" i="4" s="1"/>
  <c r="G40" i="4" s="1"/>
  <c r="O30" i="4"/>
  <c r="O33" i="4" s="1"/>
  <c r="O38" i="4" s="1"/>
  <c r="O40" i="4" s="1"/>
  <c r="D159" i="4"/>
  <c r="D161" i="4" s="1"/>
  <c r="L152" i="4"/>
  <c r="L155" i="4" s="1"/>
  <c r="L159" i="4" s="1"/>
  <c r="L161" i="4" s="1"/>
  <c r="N23" i="4"/>
  <c r="K152" i="4"/>
  <c r="K155" i="4" s="1"/>
  <c r="E159" i="4"/>
  <c r="E161" i="4" s="1"/>
  <c r="M159" i="4"/>
  <c r="M161" i="4" s="1"/>
  <c r="R30" i="4"/>
  <c r="R33" i="4" s="1"/>
  <c r="R38" i="4" s="1"/>
  <c r="R40" i="4" s="1"/>
  <c r="F30" i="4"/>
  <c r="F33" i="4" s="1"/>
  <c r="F38" i="4" s="1"/>
  <c r="F40" i="4" s="1"/>
  <c r="N30" i="4"/>
  <c r="N33" i="4" s="1"/>
  <c r="N38" i="4" s="1"/>
  <c r="N40" i="4" s="1"/>
  <c r="P30" i="4"/>
  <c r="P33" i="4" s="1"/>
  <c r="P38" i="4" s="1"/>
  <c r="P40" i="4" s="1"/>
  <c r="I30" i="4"/>
  <c r="I33" i="4" s="1"/>
  <c r="I38" i="4" s="1"/>
  <c r="I40" i="4" s="1"/>
  <c r="Q30" i="4"/>
  <c r="Q33" i="4" s="1"/>
  <c r="Q38" i="4" s="1"/>
  <c r="Q40" i="4" s="1"/>
  <c r="O152" i="4"/>
  <c r="O155" i="4" s="1"/>
  <c r="O159" i="4" s="1"/>
  <c r="O161" i="4" s="1"/>
  <c r="Q152" i="4"/>
  <c r="Q155" i="4" s="1"/>
  <c r="Q159" i="4" s="1"/>
  <c r="Q161" i="4" s="1"/>
  <c r="E30" i="4"/>
  <c r="E33" i="4" s="1"/>
  <c r="E38" i="4" s="1"/>
  <c r="E40" i="4" s="1"/>
  <c r="M30" i="4"/>
  <c r="M33" i="4" s="1"/>
  <c r="M38" i="4" s="1"/>
  <c r="M40" i="4" s="1"/>
  <c r="J152" i="4"/>
  <c r="J155" i="4" s="1"/>
  <c r="J159" i="4" s="1"/>
  <c r="J161" i="4" s="1"/>
  <c r="I152" i="4"/>
  <c r="I155" i="4" s="1"/>
  <c r="I159" i="4" s="1"/>
  <c r="I161" i="4" s="1"/>
  <c r="C159" i="4"/>
  <c r="C161" i="4" s="1"/>
  <c r="K159" i="4"/>
  <c r="K161" i="4" s="1"/>
  <c r="D30" i="4"/>
  <c r="D33" i="4" s="1"/>
  <c r="D38" i="4" s="1"/>
  <c r="D40" i="4" s="1"/>
  <c r="L30" i="4"/>
  <c r="L33" i="4" s="1"/>
  <c r="L38" i="4" s="1"/>
  <c r="L40" i="4" s="1"/>
  <c r="G253" i="4"/>
  <c r="F77" i="4"/>
  <c r="N77" i="4"/>
  <c r="F126" i="4"/>
  <c r="F127" i="4" s="1"/>
  <c r="N126" i="4"/>
  <c r="D200" i="4"/>
  <c r="L200" i="4"/>
  <c r="D253" i="4"/>
  <c r="L253" i="4"/>
  <c r="G77" i="4"/>
  <c r="O77" i="4"/>
  <c r="G126" i="4"/>
  <c r="G127" i="4" s="1"/>
  <c r="O126" i="4"/>
  <c r="E200" i="4"/>
  <c r="M200" i="4"/>
  <c r="E253" i="4"/>
  <c r="M253" i="4"/>
  <c r="H77" i="4"/>
  <c r="P77" i="4"/>
  <c r="H126" i="4"/>
  <c r="P126" i="4"/>
  <c r="F200" i="4"/>
  <c r="F254" i="4" s="1"/>
  <c r="N200" i="4"/>
  <c r="N253" i="4"/>
  <c r="I77" i="4"/>
  <c r="Q77" i="4"/>
  <c r="I126" i="4"/>
  <c r="Q126" i="4"/>
  <c r="G200" i="4"/>
  <c r="O200" i="4"/>
  <c r="O253" i="4"/>
  <c r="J77" i="4"/>
  <c r="R77" i="4"/>
  <c r="J126" i="4"/>
  <c r="R126" i="4"/>
  <c r="H200" i="4"/>
  <c r="P200" i="4"/>
  <c r="H253" i="4"/>
  <c r="P253" i="4"/>
  <c r="C77" i="4"/>
  <c r="K77" i="4"/>
  <c r="C126" i="4"/>
  <c r="K126" i="4"/>
  <c r="I200" i="4"/>
  <c r="Q200" i="4"/>
  <c r="I253" i="4"/>
  <c r="Q253" i="4"/>
  <c r="D77" i="4"/>
  <c r="L77" i="4"/>
  <c r="D126" i="4"/>
  <c r="L126" i="4"/>
  <c r="J200" i="4"/>
  <c r="R200" i="4"/>
  <c r="R253" i="4"/>
  <c r="J253" i="4"/>
  <c r="E77" i="4"/>
  <c r="M77" i="4"/>
  <c r="E126" i="4"/>
  <c r="M126" i="4"/>
  <c r="C200" i="4"/>
  <c r="K200" i="4"/>
  <c r="C253" i="4"/>
  <c r="K253" i="4"/>
  <c r="E127" i="4" l="1"/>
  <c r="M127" i="4"/>
  <c r="C127" i="4"/>
  <c r="G254" i="4"/>
  <c r="N127" i="4"/>
  <c r="L254" i="4"/>
  <c r="L127" i="4"/>
  <c r="K127" i="4"/>
  <c r="R127" i="4"/>
  <c r="I127" i="4"/>
  <c r="E254" i="4"/>
  <c r="P127" i="4"/>
  <c r="O127" i="4"/>
  <c r="O254" i="4"/>
  <c r="D254" i="4"/>
  <c r="P254" i="4"/>
  <c r="Q254" i="4"/>
  <c r="D127" i="4"/>
  <c r="J127" i="4"/>
  <c r="Q127" i="4"/>
  <c r="H127" i="4"/>
  <c r="N254" i="4"/>
  <c r="M254" i="4"/>
  <c r="K254" i="4"/>
  <c r="J254" i="4"/>
  <c r="I254" i="4"/>
  <c r="H254" i="4"/>
  <c r="R254" i="4"/>
  <c r="C254" i="4"/>
  <c r="E94" i="31"/>
  <c r="R90" i="22" l="1"/>
  <c r="R110" i="2" l="1"/>
  <c r="D240" i="21" l="1"/>
  <c r="E240" i="21"/>
  <c r="F240" i="21"/>
  <c r="G240" i="21"/>
  <c r="H240" i="21"/>
  <c r="I240" i="21"/>
  <c r="J240" i="21"/>
  <c r="K240" i="21"/>
  <c r="L240" i="21"/>
  <c r="M240" i="21"/>
  <c r="N240" i="21"/>
  <c r="O240" i="21"/>
  <c r="P240" i="21"/>
  <c r="Q240" i="21"/>
  <c r="R240" i="21"/>
  <c r="R241" i="21" s="1"/>
  <c r="R250" i="21" s="1"/>
  <c r="O241" i="21"/>
  <c r="C240" i="21"/>
  <c r="C234" i="21"/>
  <c r="D219" i="21"/>
  <c r="E219" i="21"/>
  <c r="F219" i="21"/>
  <c r="G219" i="21"/>
  <c r="H219" i="21"/>
  <c r="I219" i="21"/>
  <c r="J219" i="21"/>
  <c r="K219" i="21"/>
  <c r="L219" i="21"/>
  <c r="M219" i="21"/>
  <c r="N219" i="21"/>
  <c r="O219" i="21"/>
  <c r="P219" i="21"/>
  <c r="Q219" i="21"/>
  <c r="R219" i="21"/>
  <c r="C219" i="21"/>
  <c r="D212" i="21"/>
  <c r="E212" i="21"/>
  <c r="F212" i="21"/>
  <c r="G212" i="21"/>
  <c r="H212" i="21"/>
  <c r="I212" i="21"/>
  <c r="J212" i="21"/>
  <c r="K212" i="21"/>
  <c r="L212" i="21"/>
  <c r="M212" i="21"/>
  <c r="N212" i="21"/>
  <c r="O212" i="21"/>
  <c r="P212" i="21"/>
  <c r="Q212" i="21"/>
  <c r="R212" i="21"/>
  <c r="C212" i="21"/>
  <c r="H220" i="21" l="1"/>
  <c r="I220" i="21"/>
  <c r="Q220" i="21"/>
  <c r="P220" i="21"/>
  <c r="O220" i="21"/>
  <c r="G220" i="21"/>
  <c r="F220" i="21"/>
  <c r="E220" i="21"/>
  <c r="M220" i="21"/>
  <c r="L220" i="21"/>
  <c r="D220" i="21"/>
  <c r="N220" i="21"/>
  <c r="C220" i="21"/>
  <c r="K220" i="21"/>
  <c r="R220" i="21"/>
  <c r="J220" i="21"/>
  <c r="C241" i="21"/>
  <c r="D249" i="21"/>
  <c r="E249" i="21"/>
  <c r="F249" i="21"/>
  <c r="G249" i="21"/>
  <c r="H249" i="21"/>
  <c r="I249" i="21"/>
  <c r="J249" i="21"/>
  <c r="K249" i="21"/>
  <c r="L249" i="21"/>
  <c r="M249" i="21"/>
  <c r="O249" i="21"/>
  <c r="O250" i="21" s="1"/>
  <c r="P249" i="21"/>
  <c r="Q249" i="21"/>
  <c r="C249" i="21"/>
  <c r="N244" i="21"/>
  <c r="N249" i="21" s="1"/>
  <c r="C250" i="21" l="1"/>
  <c r="O252" i="21"/>
  <c r="D92" i="31" l="1"/>
  <c r="C92" i="31"/>
  <c r="D82" i="31"/>
  <c r="D83" i="31" s="1"/>
  <c r="D93" i="31" s="1"/>
  <c r="C82" i="31"/>
  <c r="D72" i="31"/>
  <c r="C72" i="31"/>
  <c r="C83" i="31" s="1"/>
  <c r="C93" i="31" s="1"/>
  <c r="D59" i="31"/>
  <c r="C59" i="31"/>
  <c r="D43" i="31"/>
  <c r="C43" i="31"/>
  <c r="C60" i="31" l="1"/>
  <c r="C94" i="31" s="1"/>
  <c r="D60" i="31"/>
  <c r="D94" i="31" s="1"/>
  <c r="C27" i="31"/>
  <c r="C21" i="31"/>
  <c r="C19" i="31"/>
  <c r="D16" i="31"/>
  <c r="D17" i="31" s="1"/>
  <c r="D22" i="31" s="1"/>
  <c r="D25" i="31" s="1"/>
  <c r="D28" i="31" s="1"/>
  <c r="C12" i="31"/>
  <c r="C13" i="31" s="1"/>
  <c r="D10" i="31"/>
  <c r="C9" i="31"/>
  <c r="C15" i="31" s="1"/>
  <c r="C8" i="31"/>
  <c r="C10" i="31" s="1"/>
  <c r="C16" i="31" l="1"/>
  <c r="C17" i="31" s="1"/>
  <c r="C22" i="31" s="1"/>
  <c r="C25" i="31" s="1"/>
  <c r="C28" i="31" s="1"/>
  <c r="Q234" i="21"/>
  <c r="Q241" i="21" s="1"/>
  <c r="Q250" i="21" s="1"/>
  <c r="Q184" i="21"/>
  <c r="Q185" i="21" s="1"/>
  <c r="Q190" i="21" s="1"/>
  <c r="Q193" i="21" s="1"/>
  <c r="Q196" i="21" s="1"/>
  <c r="Q166" i="21"/>
  <c r="Q157" i="21"/>
  <c r="Q150" i="21"/>
  <c r="Q158" i="21" s="1"/>
  <c r="Q167" i="21" s="1"/>
  <c r="Q139" i="21"/>
  <c r="Q131" i="21"/>
  <c r="Q104" i="21"/>
  <c r="Q98" i="21"/>
  <c r="Q86" i="21"/>
  <c r="Q76" i="21"/>
  <c r="Q69" i="21"/>
  <c r="Q59" i="21"/>
  <c r="Q48" i="21"/>
  <c r="Q60" i="21" s="1"/>
  <c r="Q17" i="21"/>
  <c r="Q11" i="21"/>
  <c r="Q140" i="21" l="1"/>
  <c r="Q168" i="21" s="1"/>
  <c r="Q105" i="21"/>
  <c r="Q110" i="21" s="1"/>
  <c r="Q113" i="21" s="1"/>
  <c r="Q116" i="21" s="1"/>
  <c r="Q77" i="21"/>
  <c r="Q87" i="21" s="1"/>
  <c r="Q18" i="21"/>
  <c r="Q23" i="21" s="1"/>
  <c r="Q26" i="21" s="1"/>
  <c r="Q29" i="21" s="1"/>
  <c r="Q252" i="21"/>
  <c r="Q363" i="6"/>
  <c r="Q353" i="6"/>
  <c r="Q339" i="6"/>
  <c r="Q337" i="6"/>
  <c r="Q344" i="6" s="1"/>
  <c r="Q354" i="6" s="1"/>
  <c r="Q364" i="6" s="1"/>
  <c r="Q331" i="6"/>
  <c r="Q311" i="6"/>
  <c r="Q316" i="6" s="1"/>
  <c r="Q332" i="6" s="1"/>
  <c r="Q297" i="6"/>
  <c r="Q289" i="6"/>
  <c r="Q283" i="6"/>
  <c r="Q290" i="6" s="1"/>
  <c r="Q295" i="6" s="1"/>
  <c r="Q271" i="6"/>
  <c r="Q261" i="6"/>
  <c r="Q247" i="6"/>
  <c r="Q245" i="6"/>
  <c r="Q239" i="6"/>
  <c r="Q219" i="6"/>
  <c r="Q224" i="6" s="1"/>
  <c r="Q197" i="6"/>
  <c r="Q191" i="6"/>
  <c r="Q198" i="6" s="1"/>
  <c r="Q203" i="6" s="1"/>
  <c r="Q206" i="6" s="1"/>
  <c r="Q209" i="6" s="1"/>
  <c r="Q180" i="6"/>
  <c r="Q164" i="6"/>
  <c r="Q170" i="6" s="1"/>
  <c r="Q156" i="6"/>
  <c r="Q154" i="6"/>
  <c r="Q148" i="6"/>
  <c r="Q128" i="6"/>
  <c r="Q133" i="6" s="1"/>
  <c r="Q115" i="6"/>
  <c r="Q107" i="6"/>
  <c r="Q101" i="6"/>
  <c r="Q90" i="6"/>
  <c r="Q80" i="6"/>
  <c r="Q64" i="6"/>
  <c r="Q71" i="6" s="1"/>
  <c r="Q58" i="6"/>
  <c r="Q38" i="6"/>
  <c r="Q43" i="6" s="1"/>
  <c r="Q59" i="6" s="1"/>
  <c r="Q25" i="6"/>
  <c r="Q17" i="6"/>
  <c r="Q11" i="6"/>
  <c r="Q18" i="6" s="1"/>
  <c r="Q23" i="6" s="1"/>
  <c r="Q26" i="6" s="1"/>
  <c r="Q29" i="6" s="1"/>
  <c r="Q240" i="6" l="1"/>
  <c r="Q161" i="6"/>
  <c r="Q171" i="6" s="1"/>
  <c r="Q181" i="6" s="1"/>
  <c r="Q298" i="6"/>
  <c r="Q301" i="6" s="1"/>
  <c r="Q252" i="6"/>
  <c r="Q262" i="6" s="1"/>
  <c r="Q272" i="6" s="1"/>
  <c r="Q108" i="6"/>
  <c r="Q113" i="6" s="1"/>
  <c r="Q116" i="6" s="1"/>
  <c r="Q119" i="6" s="1"/>
  <c r="Q149" i="6"/>
  <c r="Q81" i="6"/>
  <c r="Q91" i="6" s="1"/>
  <c r="Q21" i="2" l="1"/>
  <c r="Q11" i="2"/>
  <c r="Q22" i="2" s="1"/>
  <c r="Q27" i="2" s="1"/>
  <c r="Q30" i="2" s="1"/>
  <c r="Q33" i="2" s="1"/>
  <c r="Q36" i="2" s="1"/>
  <c r="Q90" i="22" l="1"/>
  <c r="Q106" i="2" l="1"/>
  <c r="Q108" i="2" s="1"/>
  <c r="Q109" i="2" s="1"/>
  <c r="Q110" i="2" s="1"/>
  <c r="Q86" i="2"/>
  <c r="Q73" i="2"/>
  <c r="Q56" i="2"/>
  <c r="Q74" i="2" s="1"/>
  <c r="P86" i="7" l="1"/>
  <c r="P76" i="7"/>
  <c r="P77" i="7" s="1"/>
  <c r="P87" i="7" s="1"/>
  <c r="P67" i="7"/>
  <c r="P54" i="7"/>
  <c r="P55" i="7" s="1"/>
  <c r="P39" i="7"/>
  <c r="P363" i="6" l="1"/>
  <c r="P353" i="6"/>
  <c r="P344" i="6"/>
  <c r="P354" i="6" s="1"/>
  <c r="P364" i="6" s="1"/>
  <c r="P331" i="6"/>
  <c r="P316" i="6"/>
  <c r="P332" i="6" s="1"/>
  <c r="P271" i="6"/>
  <c r="P261" i="6"/>
  <c r="P252" i="6"/>
  <c r="P239" i="6"/>
  <c r="P224" i="6"/>
  <c r="P240" i="6" s="1"/>
  <c r="P180" i="6"/>
  <c r="P170" i="6"/>
  <c r="P161" i="6"/>
  <c r="P148" i="6"/>
  <c r="P133" i="6"/>
  <c r="P90" i="6"/>
  <c r="P80" i="6"/>
  <c r="P71" i="6"/>
  <c r="P58" i="6"/>
  <c r="P43" i="6"/>
  <c r="P59" i="6" s="1"/>
  <c r="P262" i="6" l="1"/>
  <c r="P272" i="6" s="1"/>
  <c r="P149" i="6"/>
  <c r="P81" i="6"/>
  <c r="P171" i="6"/>
  <c r="P181" i="6" s="1"/>
  <c r="P91" i="6"/>
  <c r="C194" i="22" l="1"/>
  <c r="C199" i="22" s="1"/>
  <c r="C202" i="22" s="1"/>
  <c r="C205" i="22" s="1"/>
  <c r="P194" i="22"/>
  <c r="P199" i="22" s="1"/>
  <c r="P202" i="22" s="1"/>
  <c r="P205" i="22" s="1"/>
  <c r="O194" i="22"/>
  <c r="O199" i="22" s="1"/>
  <c r="O202" i="22" s="1"/>
  <c r="O205" i="22" s="1"/>
  <c r="N194" i="22"/>
  <c r="N199" i="22" s="1"/>
  <c r="N202" i="22" s="1"/>
  <c r="N205" i="22" s="1"/>
  <c r="M194" i="22"/>
  <c r="M199" i="22" s="1"/>
  <c r="M202" i="22" s="1"/>
  <c r="M205" i="22" s="1"/>
  <c r="L194" i="22"/>
  <c r="L199" i="22" s="1"/>
  <c r="L202" i="22" s="1"/>
  <c r="L205" i="22" s="1"/>
  <c r="K194" i="22"/>
  <c r="K199" i="22" s="1"/>
  <c r="K202" i="22" s="1"/>
  <c r="K205" i="22" s="1"/>
  <c r="J194" i="22"/>
  <c r="J199" i="22" s="1"/>
  <c r="J202" i="22" s="1"/>
  <c r="J205" i="22" s="1"/>
  <c r="I194" i="22"/>
  <c r="I199" i="22" s="1"/>
  <c r="I202" i="22" s="1"/>
  <c r="I205" i="22" s="1"/>
  <c r="H194" i="22"/>
  <c r="H199" i="22" s="1"/>
  <c r="H202" i="22" s="1"/>
  <c r="H205" i="22" s="1"/>
  <c r="G194" i="22"/>
  <c r="G199" i="22" s="1"/>
  <c r="G202" i="22" s="1"/>
  <c r="G205" i="22" s="1"/>
  <c r="F194" i="22"/>
  <c r="F199" i="22" s="1"/>
  <c r="F202" i="22" s="1"/>
  <c r="F205" i="22" s="1"/>
  <c r="E194" i="22"/>
  <c r="E199" i="22" s="1"/>
  <c r="E202" i="22" s="1"/>
  <c r="E205" i="22" s="1"/>
  <c r="D194" i="22"/>
  <c r="D199" i="22" s="1"/>
  <c r="D202" i="22" s="1"/>
  <c r="D205" i="22" s="1"/>
  <c r="P26" i="22" l="1"/>
  <c r="P23" i="22"/>
  <c r="P20" i="22"/>
  <c r="P19" i="22"/>
  <c r="P18" i="22"/>
  <c r="P15" i="22"/>
  <c r="P16" i="22" s="1"/>
  <c r="P21" i="22" s="1"/>
  <c r="P24" i="22" s="1"/>
  <c r="P27" i="22" s="1"/>
  <c r="P14" i="22"/>
  <c r="P13" i="22"/>
  <c r="P12" i="22"/>
  <c r="P11" i="22"/>
  <c r="P10" i="22"/>
  <c r="P9" i="22"/>
  <c r="P35" i="2"/>
  <c r="P32" i="2"/>
  <c r="P29" i="2"/>
  <c r="P26" i="2"/>
  <c r="P25" i="2"/>
  <c r="P24" i="2"/>
  <c r="P20" i="2"/>
  <c r="P19" i="2"/>
  <c r="P18" i="2"/>
  <c r="P17" i="2"/>
  <c r="P16" i="2"/>
  <c r="P15" i="2"/>
  <c r="P14" i="2"/>
  <c r="P13" i="2"/>
  <c r="P10" i="2"/>
  <c r="P9" i="2"/>
  <c r="P22" i="2" l="1"/>
  <c r="P27" i="2" s="1"/>
  <c r="P30" i="2" s="1"/>
  <c r="P33" i="2" s="1"/>
  <c r="P36" i="2" s="1"/>
  <c r="P21" i="2"/>
  <c r="P88" i="22" l="1"/>
  <c r="P78" i="22"/>
  <c r="P69" i="22"/>
  <c r="P79" i="22" s="1"/>
  <c r="P57" i="22"/>
  <c r="P42" i="22"/>
  <c r="P89" i="22" l="1"/>
  <c r="P58" i="22"/>
  <c r="P90" i="22" s="1"/>
  <c r="N271" i="22"/>
  <c r="M271" i="22"/>
  <c r="L271" i="22"/>
  <c r="K271" i="22"/>
  <c r="J271" i="22"/>
  <c r="I271" i="22"/>
  <c r="H271" i="22"/>
  <c r="G271" i="22"/>
  <c r="F271" i="22"/>
  <c r="E271" i="22"/>
  <c r="D271" i="22"/>
  <c r="C271" i="22"/>
  <c r="N268" i="22"/>
  <c r="M268" i="22"/>
  <c r="L268" i="22"/>
  <c r="K268" i="22"/>
  <c r="J268" i="22"/>
  <c r="I268" i="22"/>
  <c r="H268" i="22"/>
  <c r="G268" i="22"/>
  <c r="F268" i="22"/>
  <c r="E268" i="22"/>
  <c r="D268" i="22"/>
  <c r="C268" i="22"/>
  <c r="M258" i="22"/>
  <c r="I258" i="22"/>
  <c r="F258" i="22"/>
  <c r="N257" i="22"/>
  <c r="N258" i="22" s="1"/>
  <c r="E257" i="22"/>
  <c r="E258" i="22" s="1"/>
  <c r="L256" i="22"/>
  <c r="K256" i="22"/>
  <c r="K258" i="22" s="1"/>
  <c r="J256" i="22"/>
  <c r="J258" i="22" s="1"/>
  <c r="G256" i="22"/>
  <c r="G258" i="22" s="1"/>
  <c r="L251" i="22"/>
  <c r="H251" i="22"/>
  <c r="H258" i="22" s="1"/>
  <c r="D251" i="22"/>
  <c r="D258" i="22" s="1"/>
  <c r="C251" i="22"/>
  <c r="C258" i="22" s="1"/>
  <c r="N249" i="22"/>
  <c r="N259" i="22" s="1"/>
  <c r="N269" i="22" s="1"/>
  <c r="M249" i="22"/>
  <c r="M259" i="22" s="1"/>
  <c r="K249" i="22"/>
  <c r="J249" i="22"/>
  <c r="I249" i="22"/>
  <c r="I259" i="22" s="1"/>
  <c r="I269" i="22" s="1"/>
  <c r="G249" i="22"/>
  <c r="G259" i="22" s="1"/>
  <c r="F249" i="22"/>
  <c r="F259" i="22" s="1"/>
  <c r="E249" i="22"/>
  <c r="L241" i="22"/>
  <c r="L249" i="22" s="1"/>
  <c r="H241" i="22"/>
  <c r="H249" i="22" s="1"/>
  <c r="D241" i="22"/>
  <c r="D249" i="22" s="1"/>
  <c r="C241" i="22"/>
  <c r="C249" i="22" s="1"/>
  <c r="N236" i="22"/>
  <c r="M236" i="22"/>
  <c r="L236" i="22"/>
  <c r="K236" i="22"/>
  <c r="J236" i="22"/>
  <c r="I236" i="22"/>
  <c r="H236" i="22"/>
  <c r="G236" i="22"/>
  <c r="F236" i="22"/>
  <c r="E236" i="22"/>
  <c r="D236" i="22"/>
  <c r="C236" i="22"/>
  <c r="N220" i="22"/>
  <c r="N237" i="22" s="1"/>
  <c r="M220" i="22"/>
  <c r="K220" i="22"/>
  <c r="J220" i="22"/>
  <c r="I220" i="22"/>
  <c r="I237" i="22" s="1"/>
  <c r="I270" i="22" s="1"/>
  <c r="H220" i="22"/>
  <c r="H237" i="22" s="1"/>
  <c r="G220" i="22"/>
  <c r="G237" i="22" s="1"/>
  <c r="G270" i="22" s="1"/>
  <c r="F220" i="22"/>
  <c r="F237" i="22" s="1"/>
  <c r="F270" i="22" s="1"/>
  <c r="E220" i="22"/>
  <c r="E237" i="22" s="1"/>
  <c r="D220" i="22"/>
  <c r="C220" i="22"/>
  <c r="L215" i="22"/>
  <c r="L220" i="22" s="1"/>
  <c r="N182" i="22"/>
  <c r="M182" i="22"/>
  <c r="L182" i="22"/>
  <c r="K182" i="22"/>
  <c r="J182" i="22"/>
  <c r="I182" i="22"/>
  <c r="H182" i="22"/>
  <c r="G182" i="22"/>
  <c r="F182" i="22"/>
  <c r="E182" i="22"/>
  <c r="D182" i="22"/>
  <c r="C182" i="22"/>
  <c r="N181" i="22"/>
  <c r="M181" i="22"/>
  <c r="L181" i="22"/>
  <c r="K181" i="22"/>
  <c r="J181" i="22"/>
  <c r="I181" i="22"/>
  <c r="H181" i="22"/>
  <c r="G181" i="22"/>
  <c r="F181" i="22"/>
  <c r="E181" i="22"/>
  <c r="D181" i="22"/>
  <c r="C181" i="22"/>
  <c r="N91" i="22"/>
  <c r="M91" i="22"/>
  <c r="L91" i="22"/>
  <c r="K91" i="22"/>
  <c r="J91" i="22"/>
  <c r="I91" i="22"/>
  <c r="H91" i="22"/>
  <c r="G91" i="22"/>
  <c r="F91" i="22"/>
  <c r="E91" i="22"/>
  <c r="D91" i="22"/>
  <c r="C91" i="22"/>
  <c r="N90" i="22"/>
  <c r="M90" i="22"/>
  <c r="L90" i="22"/>
  <c r="H90" i="22"/>
  <c r="G90" i="22"/>
  <c r="F90" i="22"/>
  <c r="E90" i="22"/>
  <c r="D90" i="22"/>
  <c r="C90" i="22"/>
  <c r="K88" i="22"/>
  <c r="K89" i="22" s="1"/>
  <c r="J88" i="22"/>
  <c r="J89" i="22" s="1"/>
  <c r="I88" i="22"/>
  <c r="I89" i="22" s="1"/>
  <c r="K57" i="22"/>
  <c r="K58" i="22" s="1"/>
  <c r="K90" i="22" s="1"/>
  <c r="J57" i="22"/>
  <c r="J58" i="22" s="1"/>
  <c r="J90" i="22" s="1"/>
  <c r="I57" i="22"/>
  <c r="I58" i="22" s="1"/>
  <c r="I90" i="22" s="1"/>
  <c r="F269" i="22" l="1"/>
  <c r="L258" i="22"/>
  <c r="G269" i="22"/>
  <c r="C237" i="22"/>
  <c r="K237" i="22"/>
  <c r="L237" i="22"/>
  <c r="J237" i="22"/>
  <c r="D237" i="22"/>
  <c r="M237" i="22"/>
  <c r="H259" i="22"/>
  <c r="H269" i="22" s="1"/>
  <c r="M269" i="22"/>
  <c r="J259" i="22"/>
  <c r="J269" i="22" s="1"/>
  <c r="M270" i="22"/>
  <c r="K259" i="22"/>
  <c r="K269" i="22" s="1"/>
  <c r="E259" i="22"/>
  <c r="E269" i="22" s="1"/>
  <c r="H270" i="22"/>
  <c r="D259" i="22"/>
  <c r="D269" i="22" s="1"/>
  <c r="C259" i="22"/>
  <c r="C269" i="22" s="1"/>
  <c r="N270" i="22"/>
  <c r="L259" i="22"/>
  <c r="L269" i="22" s="1"/>
  <c r="P234" i="21"/>
  <c r="P241" i="21" s="1"/>
  <c r="P250" i="21" s="1"/>
  <c r="N234" i="21"/>
  <c r="N241" i="21" s="1"/>
  <c r="N250" i="21" s="1"/>
  <c r="M234" i="21"/>
  <c r="M241" i="21" s="1"/>
  <c r="M250" i="21" s="1"/>
  <c r="L234" i="21"/>
  <c r="L241" i="21" s="1"/>
  <c r="L250" i="21" s="1"/>
  <c r="K234" i="21"/>
  <c r="K241" i="21" s="1"/>
  <c r="K250" i="21" s="1"/>
  <c r="J234" i="21"/>
  <c r="J241" i="21" s="1"/>
  <c r="J250" i="21" s="1"/>
  <c r="I234" i="21"/>
  <c r="I241" i="21" s="1"/>
  <c r="I250" i="21" s="1"/>
  <c r="H234" i="21"/>
  <c r="H241" i="21" s="1"/>
  <c r="H250" i="21" s="1"/>
  <c r="G234" i="21"/>
  <c r="G241" i="21" s="1"/>
  <c r="G250" i="21" s="1"/>
  <c r="F234" i="21"/>
  <c r="F241" i="21" s="1"/>
  <c r="F250" i="21" s="1"/>
  <c r="E234" i="21"/>
  <c r="E241" i="21" s="1"/>
  <c r="E250" i="21" s="1"/>
  <c r="D234" i="21"/>
  <c r="D241" i="21" s="1"/>
  <c r="D250" i="21" s="1"/>
  <c r="C252" i="21"/>
  <c r="H192" i="21"/>
  <c r="P184" i="21"/>
  <c r="P185" i="21" s="1"/>
  <c r="P190" i="21" s="1"/>
  <c r="P193" i="21" s="1"/>
  <c r="P196" i="21" s="1"/>
  <c r="N184" i="21"/>
  <c r="M184" i="21"/>
  <c r="L184" i="21"/>
  <c r="K184" i="21"/>
  <c r="J184" i="21"/>
  <c r="I184" i="21"/>
  <c r="H184" i="21"/>
  <c r="G184" i="21"/>
  <c r="F184" i="21"/>
  <c r="E184" i="21"/>
  <c r="D184" i="21"/>
  <c r="C184" i="21"/>
  <c r="N178" i="21"/>
  <c r="N185" i="21" s="1"/>
  <c r="N190" i="21" s="1"/>
  <c r="N193" i="21" s="1"/>
  <c r="N196" i="21" s="1"/>
  <c r="M178" i="21"/>
  <c r="L178" i="21"/>
  <c r="K178" i="21"/>
  <c r="J178" i="21"/>
  <c r="I178" i="21"/>
  <c r="H178" i="21"/>
  <c r="G178" i="21"/>
  <c r="F178" i="21"/>
  <c r="F185" i="21" s="1"/>
  <c r="F190" i="21" s="1"/>
  <c r="F193" i="21" s="1"/>
  <c r="F196" i="21" s="1"/>
  <c r="E178" i="21"/>
  <c r="D178" i="21"/>
  <c r="C178" i="21"/>
  <c r="N168" i="21"/>
  <c r="M168" i="21"/>
  <c r="L168" i="21"/>
  <c r="K168" i="21"/>
  <c r="J168" i="21"/>
  <c r="I168" i="21"/>
  <c r="H168" i="21"/>
  <c r="G168" i="21"/>
  <c r="F168" i="21"/>
  <c r="E168" i="21"/>
  <c r="D168" i="21"/>
  <c r="C168" i="21"/>
  <c r="P166" i="21"/>
  <c r="P157" i="21"/>
  <c r="P147" i="21"/>
  <c r="P150" i="21" s="1"/>
  <c r="P158" i="21" s="1"/>
  <c r="P139" i="21"/>
  <c r="P131" i="21"/>
  <c r="L112" i="21"/>
  <c r="N109" i="21"/>
  <c r="M109" i="21"/>
  <c r="H109" i="21"/>
  <c r="P104" i="21"/>
  <c r="N104" i="21"/>
  <c r="M104" i="21"/>
  <c r="L104" i="21"/>
  <c r="K104" i="21"/>
  <c r="J104" i="21"/>
  <c r="I104" i="21"/>
  <c r="H104" i="21"/>
  <c r="G104" i="21"/>
  <c r="F104" i="21"/>
  <c r="E104" i="21"/>
  <c r="C104" i="21"/>
  <c r="D103" i="21"/>
  <c r="D104" i="21" s="1"/>
  <c r="P98" i="21"/>
  <c r="P105" i="21" s="1"/>
  <c r="P110" i="21" s="1"/>
  <c r="P113" i="21" s="1"/>
  <c r="P116" i="21" s="1"/>
  <c r="N98" i="21"/>
  <c r="M98" i="21"/>
  <c r="L98" i="21"/>
  <c r="K98" i="21"/>
  <c r="J98" i="21"/>
  <c r="I98" i="21"/>
  <c r="H98" i="21"/>
  <c r="G98" i="21"/>
  <c r="G105" i="21" s="1"/>
  <c r="G110" i="21" s="1"/>
  <c r="G113" i="21" s="1"/>
  <c r="G116" i="21" s="1"/>
  <c r="F98" i="21"/>
  <c r="E98" i="21"/>
  <c r="D98" i="21"/>
  <c r="C98" i="21"/>
  <c r="C105" i="21" s="1"/>
  <c r="C110" i="21" s="1"/>
  <c r="C113" i="21" s="1"/>
  <c r="C116" i="21" s="1"/>
  <c r="P86" i="21"/>
  <c r="P76" i="21"/>
  <c r="P69" i="21"/>
  <c r="P77" i="21" s="1"/>
  <c r="P87" i="21" s="1"/>
  <c r="P59" i="21"/>
  <c r="P48" i="21"/>
  <c r="P60" i="21" s="1"/>
  <c r="M25" i="21"/>
  <c r="L25" i="21"/>
  <c r="J25" i="21"/>
  <c r="P22" i="21"/>
  <c r="P17" i="21"/>
  <c r="N17" i="21"/>
  <c r="M17" i="21"/>
  <c r="K17" i="21"/>
  <c r="J17" i="21"/>
  <c r="I17" i="21"/>
  <c r="H17" i="21"/>
  <c r="G17" i="21"/>
  <c r="F17" i="21"/>
  <c r="E17" i="21"/>
  <c r="D17" i="21"/>
  <c r="C17" i="21"/>
  <c r="L16" i="21"/>
  <c r="L17" i="21" s="1"/>
  <c r="P11" i="21"/>
  <c r="N11" i="21"/>
  <c r="M11" i="21"/>
  <c r="L11" i="21"/>
  <c r="K11" i="21"/>
  <c r="J11" i="21"/>
  <c r="I11" i="21"/>
  <c r="H11" i="21"/>
  <c r="G11" i="21"/>
  <c r="G18" i="21" s="1"/>
  <c r="G23" i="21" s="1"/>
  <c r="G26" i="21" s="1"/>
  <c r="G29" i="21" s="1"/>
  <c r="F11" i="21"/>
  <c r="E11" i="21"/>
  <c r="D11" i="21"/>
  <c r="C11" i="21"/>
  <c r="K105" i="21" l="1"/>
  <c r="K110" i="21" s="1"/>
  <c r="K113" i="21" s="1"/>
  <c r="K116" i="21" s="1"/>
  <c r="K18" i="21"/>
  <c r="K23" i="21" s="1"/>
  <c r="K26" i="21" s="1"/>
  <c r="K29" i="21" s="1"/>
  <c r="D18" i="21"/>
  <c r="D23" i="21" s="1"/>
  <c r="D26" i="21" s="1"/>
  <c r="D29" i="21" s="1"/>
  <c r="H105" i="21"/>
  <c r="H110" i="21" s="1"/>
  <c r="H113" i="21" s="1"/>
  <c r="H116" i="21" s="1"/>
  <c r="E18" i="21"/>
  <c r="E23" i="21" s="1"/>
  <c r="E26" i="21" s="1"/>
  <c r="E29" i="21" s="1"/>
  <c r="M18" i="21"/>
  <c r="M23" i="21" s="1"/>
  <c r="M26" i="21" s="1"/>
  <c r="M29" i="21" s="1"/>
  <c r="I105" i="21"/>
  <c r="I110" i="21" s="1"/>
  <c r="I113" i="21" s="1"/>
  <c r="I116" i="21" s="1"/>
  <c r="L18" i="21"/>
  <c r="L23" i="21" s="1"/>
  <c r="L26" i="21" s="1"/>
  <c r="L29" i="21" s="1"/>
  <c r="F18" i="21"/>
  <c r="F23" i="21" s="1"/>
  <c r="F26" i="21" s="1"/>
  <c r="F29" i="21" s="1"/>
  <c r="N18" i="21"/>
  <c r="N23" i="21" s="1"/>
  <c r="N26" i="21" s="1"/>
  <c r="N29" i="21" s="1"/>
  <c r="J105" i="21"/>
  <c r="J110" i="21" s="1"/>
  <c r="J113" i="21" s="1"/>
  <c r="J116" i="21" s="1"/>
  <c r="C185" i="21"/>
  <c r="C190" i="21" s="1"/>
  <c r="C193" i="21" s="1"/>
  <c r="C196" i="21" s="1"/>
  <c r="K185" i="21"/>
  <c r="K190" i="21" s="1"/>
  <c r="K193" i="21" s="1"/>
  <c r="K196" i="21" s="1"/>
  <c r="C18" i="21"/>
  <c r="C23" i="21" s="1"/>
  <c r="C26" i="21" s="1"/>
  <c r="C29" i="21" s="1"/>
  <c r="P18" i="21"/>
  <c r="P23" i="21" s="1"/>
  <c r="P26" i="21" s="1"/>
  <c r="P29" i="21" s="1"/>
  <c r="P167" i="21"/>
  <c r="D185" i="21"/>
  <c r="D190" i="21" s="1"/>
  <c r="D193" i="21" s="1"/>
  <c r="D196" i="21" s="1"/>
  <c r="L185" i="21"/>
  <c r="L190" i="21" s="1"/>
  <c r="L193" i="21" s="1"/>
  <c r="L196" i="21" s="1"/>
  <c r="H185" i="21"/>
  <c r="H190" i="21" s="1"/>
  <c r="H193" i="21" s="1"/>
  <c r="H196" i="21" s="1"/>
  <c r="E185" i="21"/>
  <c r="E190" i="21" s="1"/>
  <c r="E193" i="21" s="1"/>
  <c r="E196" i="21" s="1"/>
  <c r="M185" i="21"/>
  <c r="M190" i="21" s="1"/>
  <c r="M193" i="21" s="1"/>
  <c r="M196" i="21" s="1"/>
  <c r="L105" i="21"/>
  <c r="L110" i="21" s="1"/>
  <c r="L113" i="21" s="1"/>
  <c r="L116" i="21" s="1"/>
  <c r="G185" i="21"/>
  <c r="G190" i="21" s="1"/>
  <c r="G193" i="21" s="1"/>
  <c r="G196" i="21" s="1"/>
  <c r="H18" i="21"/>
  <c r="H23" i="21" s="1"/>
  <c r="H26" i="21" s="1"/>
  <c r="H29" i="21" s="1"/>
  <c r="I18" i="21"/>
  <c r="I23" i="21" s="1"/>
  <c r="I26" i="21" s="1"/>
  <c r="I29" i="21" s="1"/>
  <c r="E105" i="21"/>
  <c r="E110" i="21" s="1"/>
  <c r="E113" i="21" s="1"/>
  <c r="E116" i="21" s="1"/>
  <c r="M105" i="21"/>
  <c r="M110" i="21" s="1"/>
  <c r="M113" i="21" s="1"/>
  <c r="M116" i="21" s="1"/>
  <c r="I185" i="21"/>
  <c r="I190" i="21" s="1"/>
  <c r="I193" i="21" s="1"/>
  <c r="I196" i="21" s="1"/>
  <c r="P140" i="21"/>
  <c r="P168" i="21" s="1"/>
  <c r="J185" i="21"/>
  <c r="J190" i="21" s="1"/>
  <c r="J193" i="21" s="1"/>
  <c r="J196" i="21" s="1"/>
  <c r="D252" i="21"/>
  <c r="C270" i="22"/>
  <c r="E270" i="22"/>
  <c r="K270" i="22"/>
  <c r="J270" i="22"/>
  <c r="L252" i="21"/>
  <c r="K252" i="21"/>
  <c r="N252" i="21"/>
  <c r="P252" i="21"/>
  <c r="J252" i="21"/>
  <c r="M252" i="21"/>
  <c r="E252" i="21"/>
  <c r="F252" i="21"/>
  <c r="I252" i="21"/>
  <c r="G252" i="21"/>
  <c r="H252" i="21"/>
  <c r="D270" i="22"/>
  <c r="L270" i="22"/>
  <c r="D105" i="21"/>
  <c r="D110" i="21" s="1"/>
  <c r="D113" i="21" s="1"/>
  <c r="D116" i="21" s="1"/>
  <c r="J18" i="21"/>
  <c r="J23" i="21" s="1"/>
  <c r="J26" i="21" s="1"/>
  <c r="J29" i="21" s="1"/>
  <c r="F105" i="21"/>
  <c r="F110" i="21" s="1"/>
  <c r="F113" i="21" s="1"/>
  <c r="F116" i="21" s="1"/>
  <c r="N105" i="21"/>
  <c r="N110" i="21" s="1"/>
  <c r="N113" i="21" s="1"/>
  <c r="N116" i="21" s="1"/>
  <c r="C173" i="21" l="1"/>
  <c r="D173" i="21"/>
  <c r="O28" i="6"/>
  <c r="O25" i="6"/>
  <c r="O22" i="6"/>
  <c r="O20" i="6"/>
  <c r="O16" i="6"/>
  <c r="O15" i="6"/>
  <c r="O14" i="6"/>
  <c r="O13" i="6"/>
  <c r="O10" i="6"/>
  <c r="O9" i="6"/>
  <c r="O17" i="6" l="1"/>
  <c r="O11" i="6"/>
  <c r="O18" i="6" l="1"/>
  <c r="O23" i="6" s="1"/>
  <c r="O26" i="6" s="1"/>
  <c r="O29" i="6" s="1"/>
  <c r="N86" i="7"/>
  <c r="M86" i="7"/>
  <c r="L86" i="7"/>
  <c r="K86" i="7"/>
  <c r="J86" i="7"/>
  <c r="I86" i="7"/>
  <c r="H86" i="7"/>
  <c r="G86" i="7"/>
  <c r="F86" i="7"/>
  <c r="E86" i="7"/>
  <c r="D86" i="7"/>
  <c r="C86" i="7"/>
  <c r="N76" i="7"/>
  <c r="M76" i="7"/>
  <c r="L76" i="7"/>
  <c r="K76" i="7"/>
  <c r="J76" i="7"/>
  <c r="I76" i="7"/>
  <c r="H76" i="7"/>
  <c r="G76" i="7"/>
  <c r="F76" i="7"/>
  <c r="E76" i="7"/>
  <c r="D76" i="7"/>
  <c r="C76" i="7"/>
  <c r="N67" i="7"/>
  <c r="M67" i="7"/>
  <c r="L67" i="7"/>
  <c r="K67" i="7"/>
  <c r="K77" i="7" s="1"/>
  <c r="K87" i="7" s="1"/>
  <c r="J67" i="7"/>
  <c r="J77" i="7" s="1"/>
  <c r="J87" i="7" s="1"/>
  <c r="I67" i="7"/>
  <c r="I77" i="7" s="1"/>
  <c r="H67" i="7"/>
  <c r="H77" i="7" s="1"/>
  <c r="H87" i="7" s="1"/>
  <c r="G67" i="7"/>
  <c r="F67" i="7"/>
  <c r="E67" i="7"/>
  <c r="D67" i="7"/>
  <c r="D77" i="7" s="1"/>
  <c r="D87" i="7" s="1"/>
  <c r="C67" i="7"/>
  <c r="C77" i="7" s="1"/>
  <c r="C87" i="7" s="1"/>
  <c r="N54" i="7"/>
  <c r="M54" i="7"/>
  <c r="L54" i="7"/>
  <c r="K54" i="7"/>
  <c r="J54" i="7"/>
  <c r="I54" i="7"/>
  <c r="H54" i="7"/>
  <c r="G54" i="7"/>
  <c r="F54" i="7"/>
  <c r="E54" i="7"/>
  <c r="D54" i="7"/>
  <c r="C54" i="7"/>
  <c r="N39" i="7"/>
  <c r="M39" i="7"/>
  <c r="L39" i="7"/>
  <c r="K39" i="7"/>
  <c r="J39" i="7"/>
  <c r="J55" i="7" s="1"/>
  <c r="I39" i="7"/>
  <c r="I55" i="7" s="1"/>
  <c r="H39" i="7"/>
  <c r="H55" i="7" s="1"/>
  <c r="G39" i="7"/>
  <c r="F39" i="7"/>
  <c r="E39" i="7"/>
  <c r="D39" i="7"/>
  <c r="C39" i="7"/>
  <c r="C55" i="7" l="1"/>
  <c r="K55" i="7"/>
  <c r="L77" i="7"/>
  <c r="L87" i="7" s="1"/>
  <c r="D55" i="7"/>
  <c r="F55" i="7"/>
  <c r="N55" i="7"/>
  <c r="F77" i="7"/>
  <c r="F87" i="7" s="1"/>
  <c r="N77" i="7"/>
  <c r="N87" i="7" s="1"/>
  <c r="L55" i="7"/>
  <c r="G55" i="7"/>
  <c r="G77" i="7"/>
  <c r="G87" i="7" s="1"/>
  <c r="I87" i="7"/>
  <c r="E55" i="7"/>
  <c r="M55" i="7"/>
  <c r="E77" i="7"/>
  <c r="E87" i="7" s="1"/>
  <c r="M77" i="7"/>
  <c r="M87" i="7" s="1"/>
  <c r="N90" i="6" l="1"/>
  <c r="M90" i="6"/>
  <c r="L90" i="6"/>
  <c r="K90" i="6"/>
  <c r="J90" i="6"/>
  <c r="I90" i="6"/>
  <c r="H90" i="6"/>
  <c r="G90" i="6"/>
  <c r="F90" i="6"/>
  <c r="E90" i="6"/>
  <c r="D90" i="6"/>
  <c r="C90" i="6"/>
  <c r="N80" i="6"/>
  <c r="M80" i="6"/>
  <c r="L80" i="6"/>
  <c r="K80" i="6"/>
  <c r="J80" i="6"/>
  <c r="I80" i="6"/>
  <c r="H80" i="6"/>
  <c r="G80" i="6"/>
  <c r="F80" i="6"/>
  <c r="E80" i="6"/>
  <c r="D80" i="6"/>
  <c r="C80" i="6"/>
  <c r="N71" i="6"/>
  <c r="M71" i="6"/>
  <c r="L71" i="6"/>
  <c r="K71" i="6"/>
  <c r="J71" i="6"/>
  <c r="I71" i="6"/>
  <c r="H71" i="6"/>
  <c r="H81" i="6" s="1"/>
  <c r="H91" i="6" s="1"/>
  <c r="G71" i="6"/>
  <c r="G81" i="6" s="1"/>
  <c r="G91" i="6" s="1"/>
  <c r="F71" i="6"/>
  <c r="E71" i="6"/>
  <c r="D71" i="6"/>
  <c r="C71" i="6"/>
  <c r="N58" i="6"/>
  <c r="M58" i="6"/>
  <c r="L58" i="6"/>
  <c r="K58" i="6"/>
  <c r="J58" i="6"/>
  <c r="I58" i="6"/>
  <c r="H58" i="6"/>
  <c r="G58" i="6"/>
  <c r="F58" i="6"/>
  <c r="E58" i="6"/>
  <c r="D58" i="6"/>
  <c r="C58" i="6"/>
  <c r="N43" i="6"/>
  <c r="M43" i="6"/>
  <c r="L43" i="6"/>
  <c r="K43" i="6"/>
  <c r="J43" i="6"/>
  <c r="I43" i="6"/>
  <c r="H43" i="6"/>
  <c r="H59" i="6" s="1"/>
  <c r="G43" i="6"/>
  <c r="G59" i="6" s="1"/>
  <c r="F43" i="6"/>
  <c r="E43" i="6"/>
  <c r="D43" i="6"/>
  <c r="C38" i="6"/>
  <c r="C43" i="6" s="1"/>
  <c r="D59" i="6" l="1"/>
  <c r="D81" i="6"/>
  <c r="D91" i="6" s="1"/>
  <c r="L81" i="6"/>
  <c r="L91" i="6" s="1"/>
  <c r="L59" i="6"/>
  <c r="F59" i="6"/>
  <c r="N59" i="6"/>
  <c r="F81" i="6"/>
  <c r="F91" i="6" s="1"/>
  <c r="N81" i="6"/>
  <c r="N91" i="6" s="1"/>
  <c r="E59" i="6"/>
  <c r="M59" i="6"/>
  <c r="E81" i="6"/>
  <c r="E91" i="6" s="1"/>
  <c r="M81" i="6"/>
  <c r="M91" i="6" s="1"/>
  <c r="J59" i="6"/>
  <c r="J81" i="6"/>
  <c r="J91" i="6" s="1"/>
  <c r="I59" i="6"/>
  <c r="I81" i="6"/>
  <c r="I91" i="6" s="1"/>
  <c r="C59" i="6"/>
  <c r="K59" i="6"/>
  <c r="C81" i="6"/>
  <c r="C91" i="6" s="1"/>
  <c r="K81" i="6"/>
  <c r="K91" i="6" s="1"/>
  <c r="K111" i="2" l="1"/>
  <c r="J111" i="2"/>
  <c r="I111" i="2"/>
  <c r="H111" i="2"/>
  <c r="G111" i="2"/>
  <c r="F111" i="2"/>
  <c r="D111" i="2"/>
  <c r="E111" i="2"/>
  <c r="C111" i="2"/>
  <c r="D110" i="2"/>
  <c r="E110" i="2"/>
  <c r="F110" i="2"/>
  <c r="G110" i="2"/>
  <c r="H110" i="2"/>
  <c r="I110" i="2"/>
  <c r="J110" i="2"/>
  <c r="K110" i="2"/>
  <c r="C11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ÁNGELA MARÍA ESTRADA RUIZ</author>
  </authors>
  <commentList>
    <comment ref="B28" authorId="0" shapeId="0" xr:uid="{452DF0DC-D095-4CDE-8598-2F399A68464C}">
      <text>
        <r>
          <rPr>
            <b/>
            <sz val="9"/>
            <color indexed="81"/>
            <rFont val="Tahoma"/>
            <family val="2"/>
          </rPr>
          <t>ÁNGELA MARÍA ESTRADA RUIZ:</t>
        </r>
        <r>
          <rPr>
            <sz val="9"/>
            <color indexed="81"/>
            <rFont val="Tahoma"/>
            <family val="2"/>
          </rPr>
          <t xml:space="preserve">
No son verdes</t>
        </r>
      </text>
    </comment>
    <comment ref="B63" authorId="0" shapeId="0" xr:uid="{07EA5B1C-A194-4A20-96C4-61ADAA82CE07}">
      <text>
        <r>
          <rPr>
            <b/>
            <sz val="9"/>
            <color indexed="81"/>
            <rFont val="Tahoma"/>
            <family val="2"/>
          </rPr>
          <t>ÁNGELA MARÍA ESTRADA RUIZ:</t>
        </r>
        <r>
          <rPr>
            <sz val="9"/>
            <color indexed="81"/>
            <rFont val="Tahoma"/>
            <family val="2"/>
          </rPr>
          <t xml:space="preserve">
No es verde</t>
        </r>
      </text>
    </comment>
  </commentList>
</comments>
</file>

<file path=xl/sharedStrings.xml><?xml version="1.0" encoding="utf-8"?>
<sst xmlns="http://schemas.openxmlformats.org/spreadsheetml/2006/main" count="4773" uniqueCount="1251">
  <si>
    <t>Estados financieros trimestrales consolidados</t>
  </si>
  <si>
    <t>Estados financieros trimestrales TE Colombia</t>
  </si>
  <si>
    <t>ISA</t>
  </si>
  <si>
    <t>Intercolombia</t>
  </si>
  <si>
    <t>Transelca</t>
  </si>
  <si>
    <t>Estados financieros trimestrales TE Brasil</t>
  </si>
  <si>
    <t>Estados financieros trimestrales TE Perú</t>
  </si>
  <si>
    <t>Transmantaro</t>
  </si>
  <si>
    <t>REP</t>
  </si>
  <si>
    <t>ISA Perú</t>
  </si>
  <si>
    <t>Estados financieros trimestrales TE Chile</t>
  </si>
  <si>
    <t>Estados financieros trimestrales Vías Chile</t>
  </si>
  <si>
    <t>Deuda Consolidada Créditos</t>
  </si>
  <si>
    <t>Deuda Consolidada Bonos</t>
  </si>
  <si>
    <t>CAPEX</t>
  </si>
  <si>
    <t>Dividendos</t>
  </si>
  <si>
    <t>Volver al Contenido</t>
  </si>
  <si>
    <t>ESTADOS DE RESULTADOS CONSOLIDADOS</t>
  </si>
  <si>
    <t>Cifras expresadas en millones de pesos colombianos</t>
  </si>
  <si>
    <t>1T18</t>
  </si>
  <si>
    <t>2T18</t>
  </si>
  <si>
    <t>3T18</t>
  </si>
  <si>
    <t>4T18</t>
  </si>
  <si>
    <t>1T19</t>
  </si>
  <si>
    <t>2T19</t>
  </si>
  <si>
    <t>3T19</t>
  </si>
  <si>
    <t>4T19</t>
  </si>
  <si>
    <t>1T20</t>
  </si>
  <si>
    <t>2T20</t>
  </si>
  <si>
    <t>3T20</t>
  </si>
  <si>
    <t>Ingresos de construcción</t>
  </si>
  <si>
    <t>Costos de construcción</t>
  </si>
  <si>
    <t>EBITDA de construcción</t>
  </si>
  <si>
    <t>Ingresos por servicios de transmisión de energía eléctrica</t>
  </si>
  <si>
    <t>Ingresos por cargos de conexión</t>
  </si>
  <si>
    <t>Ingresos de vías</t>
  </si>
  <si>
    <t>Ingresos por despacho y coordinación CND - MEM</t>
  </si>
  <si>
    <t>Servicios MEM (STN, SIC, SDI)</t>
  </si>
  <si>
    <t>Ingresos de telecomunicaciones</t>
  </si>
  <si>
    <t>Otros ingresos operacionales</t>
  </si>
  <si>
    <t>Costos y gastos AOM</t>
  </si>
  <si>
    <t>EBITDA de Operación</t>
  </si>
  <si>
    <t>EBITDA Total</t>
  </si>
  <si>
    <t xml:space="preserve">(-) Provisiones, Depreciaciones y Amortizaciones. </t>
  </si>
  <si>
    <t>Metodo de participación neto ingreso /(gasto)</t>
  </si>
  <si>
    <t>Otros neto ingreso /(gasto)</t>
  </si>
  <si>
    <t>Utilidad por actividades de operación</t>
  </si>
  <si>
    <t>Financiero neto ingreso/(gasto)</t>
  </si>
  <si>
    <t>Utilidad antes de impuestos</t>
  </si>
  <si>
    <t>Provisión impuesto de renta</t>
  </si>
  <si>
    <t>Utilidad antes de interés minoritario</t>
  </si>
  <si>
    <t>Interés minoritario</t>
  </si>
  <si>
    <t>Utilidad neta</t>
  </si>
  <si>
    <t>ESTADOS CONSOLIDADOS DE SITUACIÓN FINANCIERA</t>
  </si>
  <si>
    <t>Valores expresados en millones de pesos colombianos</t>
  </si>
  <si>
    <t>ACTIVO</t>
  </si>
  <si>
    <t>Activo corriente</t>
  </si>
  <si>
    <t>Efectivo y equivalentes de efectivo</t>
  </si>
  <si>
    <t>Activos financieros</t>
  </si>
  <si>
    <t>Impuestos corrientes</t>
  </si>
  <si>
    <t>Inventarios - neto</t>
  </si>
  <si>
    <t>Activos no financieros</t>
  </si>
  <si>
    <t>Préstamos por cobrar partes relacionadas</t>
  </si>
  <si>
    <t>Total activo corriente</t>
  </si>
  <si>
    <t>Activo no corriente</t>
  </si>
  <si>
    <t>Efectivo restringido</t>
  </si>
  <si>
    <t>Impuestos no corrientes</t>
  </si>
  <si>
    <t>Inversiones en asociadas y negocios conjuntos</t>
  </si>
  <si>
    <t>Instrumentos financieros</t>
  </si>
  <si>
    <t>Inventarios - Neto</t>
  </si>
  <si>
    <t>Propiedades, planta y equipo - Neto</t>
  </si>
  <si>
    <t>Propiedades de Inversión - neto</t>
  </si>
  <si>
    <t>Activos mantenidos para la venta</t>
  </si>
  <si>
    <t>Intangibles - Neto</t>
  </si>
  <si>
    <t>Impuesto diferido</t>
  </si>
  <si>
    <t>Activos en arrendamiento financiero - Neto</t>
  </si>
  <si>
    <t>Activos Intangibles en arrendamiento financiero - Neto</t>
  </si>
  <si>
    <t>Total activo no corriente</t>
  </si>
  <si>
    <t>TOTAL ACTIVO</t>
  </si>
  <si>
    <t>PASIVO MAS PATRIMONIO DE LOS ACCIONISTAS</t>
  </si>
  <si>
    <t>Pasivo corriente</t>
  </si>
  <si>
    <t>Pasivos financieros</t>
  </si>
  <si>
    <t>Cuentas por pagar</t>
  </si>
  <si>
    <t>Vinculados Economicos</t>
  </si>
  <si>
    <t>Beneficios a los empleados</t>
  </si>
  <si>
    <t>Provisiones</t>
  </si>
  <si>
    <t>Pasivos no financieros</t>
  </si>
  <si>
    <t>Otros Pasivos Financieros -Coberturas</t>
  </si>
  <si>
    <t>Total pasivo corriente</t>
  </si>
  <si>
    <t>Pasivo no corriente</t>
  </si>
  <si>
    <t>Préstamos por pagar partes relacionadas</t>
  </si>
  <si>
    <t>Total pasivo no corriente</t>
  </si>
  <si>
    <t>TOTAL PASIVO</t>
  </si>
  <si>
    <t>Patrimonio de los accionistas</t>
  </si>
  <si>
    <t>Capital suscrito y pagado</t>
  </si>
  <si>
    <t>Prima en colocación de acciones</t>
  </si>
  <si>
    <t>Reservas</t>
  </si>
  <si>
    <t>Resultados retenidos</t>
  </si>
  <si>
    <t>Resultado del año</t>
  </si>
  <si>
    <t>Otro Resultado Integral</t>
  </si>
  <si>
    <t>Patrimonio atribuible a propietarios de la controladora</t>
  </si>
  <si>
    <t>Participaciones no controladoras</t>
  </si>
  <si>
    <t>Total patrimonio de los accionistas</t>
  </si>
  <si>
    <t>TOTAL PASIVO Y PATRIMONIO DE LOS ACCIONISTAS</t>
  </si>
  <si>
    <t>□</t>
  </si>
  <si>
    <t>ESTADOS DE RESULTADOS SEPARADOS - ISA</t>
  </si>
  <si>
    <t>Utilidad contrato de cuentas en participación</t>
  </si>
  <si>
    <t>Servicios de transmisión de energía eléctrica</t>
  </si>
  <si>
    <t>Cargos por conexión</t>
  </si>
  <si>
    <t>Proyectos de infraestructura</t>
  </si>
  <si>
    <t>Telecomunicaciones</t>
  </si>
  <si>
    <t>EBITDA</t>
  </si>
  <si>
    <t>ESTADOS SEPARADOS DE SITUACIÓN FINANCIERA - ISA</t>
  </si>
  <si>
    <t>Inversiones en subsidiarias, asociadas y negocios conjuntos</t>
  </si>
  <si>
    <t>Inversiones en instrumentos financieros</t>
  </si>
  <si>
    <t>Otros pasivos financieros</t>
  </si>
  <si>
    <t>Pasivo por impuestos diferidos</t>
  </si>
  <si>
    <t>ESTADOS DE RESULTADOS SEPARADOS - ISA INTERCOLOMBIA</t>
  </si>
  <si>
    <t>Gerenciamiento de proyectos</t>
  </si>
  <si>
    <t>Arrendamientos de infraestructura eléctrica</t>
  </si>
  <si>
    <t>ESTADOS SEPARADOS DE SITUACIÓN FINANCIERA - ISA INTERCOLOMBIA</t>
  </si>
  <si>
    <t>Intangibles - neto</t>
  </si>
  <si>
    <t>Otros activos financieros</t>
  </si>
  <si>
    <t>Contrato cuentas en participación</t>
  </si>
  <si>
    <t>Despacho y coordinación CND - MEM</t>
  </si>
  <si>
    <t>Inversiones en negocio conjunto</t>
  </si>
  <si>
    <t>Activos Intangibles en arrendamiento Financiero</t>
  </si>
  <si>
    <t>Cuentas por pagar vinculados económicos</t>
  </si>
  <si>
    <t>ESTADOS DE RESULTADOS CONSOLIDADO IFRS - CTEEP</t>
  </si>
  <si>
    <t>Cifras expresadas en miles de reales</t>
  </si>
  <si>
    <t>Consolidated</t>
  </si>
  <si>
    <t>1Q18</t>
  </si>
  <si>
    <t>2Q18</t>
  </si>
  <si>
    <t>3Q18</t>
  </si>
  <si>
    <t>4Q18</t>
  </si>
  <si>
    <t>1Q19</t>
  </si>
  <si>
    <t>2Q19</t>
  </si>
  <si>
    <t>3Q19</t>
  </si>
  <si>
    <t>4Q19</t>
  </si>
  <si>
    <t>1Q20</t>
  </si>
  <si>
    <t>2Q20</t>
  </si>
  <si>
    <t>3Q20</t>
  </si>
  <si>
    <t>Gross Operating Revenue</t>
  </si>
  <si>
    <t>Infrastructure</t>
  </si>
  <si>
    <t>Other</t>
  </si>
  <si>
    <t>Deductions from Operating Revenue</t>
  </si>
  <si>
    <t>Net Operating Revenue</t>
  </si>
  <si>
    <t xml:space="preserve">Cost and Expenses  </t>
  </si>
  <si>
    <t>Personnel</t>
  </si>
  <si>
    <t>Materials</t>
  </si>
  <si>
    <t>Services</t>
  </si>
  <si>
    <t>Depreciation</t>
  </si>
  <si>
    <t>-</t>
  </si>
  <si>
    <t>Result of Service</t>
  </si>
  <si>
    <t>Financial Income</t>
  </si>
  <si>
    <t>Income from Financial Investments</t>
  </si>
  <si>
    <t>Result of Liquid Monetary Variation</t>
  </si>
  <si>
    <t>Interest costs</t>
  </si>
  <si>
    <t>Interest/Charges on loans</t>
  </si>
  <si>
    <t>Operating Income</t>
  </si>
  <si>
    <t>Equity Income</t>
  </si>
  <si>
    <t>Other Operating Revenues/Expenses</t>
  </si>
  <si>
    <t>Earnings Before Taxes</t>
  </si>
  <si>
    <t>Income tax and Social Contribution on Earnings</t>
  </si>
  <si>
    <t>Current</t>
  </si>
  <si>
    <t>Deferred</t>
  </si>
  <si>
    <t>Consolidated Profit/Loss for the Period before Non-Controlling Shareholder's Stake</t>
  </si>
  <si>
    <t>Non-Controlling Shareholder's Stake</t>
  </si>
  <si>
    <t>Consolidated Profit/Loss for the Period</t>
  </si>
  <si>
    <t>ESTADOS CONSOLIDADOS DE SITUACIÓN FINANCIERA IFRS- CTEEP</t>
  </si>
  <si>
    <t xml:space="preserve">Assets </t>
  </si>
  <si>
    <t>CURRENT</t>
  </si>
  <si>
    <t>Cash and cash equivalents</t>
  </si>
  <si>
    <t>Financial Investments</t>
  </si>
  <si>
    <t xml:space="preserve">Concession Asset </t>
  </si>
  <si>
    <t>Inventories</t>
  </si>
  <si>
    <t>Taxes and contributions to compensate</t>
  </si>
  <si>
    <t>Derivative instruments</t>
  </si>
  <si>
    <t>Prepaid expenses</t>
  </si>
  <si>
    <t xml:space="preserve">Restricted Cash </t>
  </si>
  <si>
    <t>Others</t>
  </si>
  <si>
    <t>TOTAL CURRENT ASSETS</t>
  </si>
  <si>
    <t>NON-CURRENT</t>
  </si>
  <si>
    <t>Long-term Receivables</t>
  </si>
  <si>
    <t>Concession Asset</t>
  </si>
  <si>
    <t>Amounts Receivable - Revenue Service</t>
  </si>
  <si>
    <t>Deferred Income Tax and Social Contribution</t>
  </si>
  <si>
    <t>Pledges and Escrow</t>
  </si>
  <si>
    <t>Investments</t>
  </si>
  <si>
    <t>Property, Plant and Equipment</t>
  </si>
  <si>
    <t>Intangible Assets</t>
  </si>
  <si>
    <t>Total Assets</t>
  </si>
  <si>
    <t>Liabilities and Shareholders' Equity</t>
  </si>
  <si>
    <t>(BRL thousand)</t>
  </si>
  <si>
    <t>Loans and financing</t>
  </si>
  <si>
    <t>Debentures</t>
  </si>
  <si>
    <t>Leasing</t>
  </si>
  <si>
    <t>Suppliers</t>
  </si>
  <si>
    <t>Interest on Shareholders' Equity/Dividends payable</t>
  </si>
  <si>
    <t>Provisions</t>
  </si>
  <si>
    <t>Special obligations - Reversal/Amortization</t>
  </si>
  <si>
    <t>Deferred PIS and Cofins</t>
  </si>
  <si>
    <t>Global Reversal Reserve - RGR</t>
  </si>
  <si>
    <t>Total long-term liabilities</t>
  </si>
  <si>
    <t>NET EQUITY</t>
  </si>
  <si>
    <t>Shareholders' Equity</t>
  </si>
  <si>
    <t>Capital Reserves</t>
  </si>
  <si>
    <t>Profits Reserve</t>
  </si>
  <si>
    <t>Other comprehensive results</t>
  </si>
  <si>
    <t>Additional proposed dividends</t>
  </si>
  <si>
    <t>Total Net Equity</t>
  </si>
  <si>
    <t>Total Liabilities and Shareholders' Equity</t>
  </si>
  <si>
    <t>ESTADOS DE RESULTADOS CONSOLIDADO REGULATORIO - CTEEP</t>
  </si>
  <si>
    <t>Result
(BRL thousand)</t>
  </si>
  <si>
    <t>Gross Revenue</t>
  </si>
  <si>
    <t>Availability of Electric Network</t>
  </si>
  <si>
    <t>Deductions from the Operational Revenue</t>
  </si>
  <si>
    <t>Net Revenue</t>
  </si>
  <si>
    <t xml:space="preserve">Cost and Operational Expenses  </t>
  </si>
  <si>
    <t>Material</t>
  </si>
  <si>
    <t>Financial Results</t>
  </si>
  <si>
    <t>Interest Receivable</t>
  </si>
  <si>
    <t>Monetary (net)</t>
  </si>
  <si>
    <t xml:space="preserve">Interest Costs </t>
  </si>
  <si>
    <t xml:space="preserve">Operational Results </t>
  </si>
  <si>
    <t>Equity</t>
  </si>
  <si>
    <t>Other Operating Expenses/Income</t>
  </si>
  <si>
    <t>Results before Taxes</t>
  </si>
  <si>
    <t>Income tax and social contribuition</t>
  </si>
  <si>
    <t xml:space="preserve">Consolidated Income/Losses of the Period Before
 the participation of the non controlling shareholder </t>
  </si>
  <si>
    <t>Participation of Non Controlling Shareholder</t>
  </si>
  <si>
    <t>Net Income</t>
  </si>
  <si>
    <t>ESTADOS CONSOLIDADOS DE SITUACIÓN FINANCIERA REGULATORIO- CTEEP</t>
  </si>
  <si>
    <t>Assets (BRL thousand)</t>
  </si>
  <si>
    <t>CURRENT ASSETS</t>
  </si>
  <si>
    <t>Cash and Cash Equivalents</t>
  </si>
  <si>
    <t>Accounts Receivable</t>
  </si>
  <si>
    <t>Inventory</t>
  </si>
  <si>
    <t xml:space="preserve">Services in course </t>
  </si>
  <si>
    <t>Recoverable taxes and contributions</t>
  </si>
  <si>
    <t>Prepaid Expenses</t>
  </si>
  <si>
    <t>Credit with controlled</t>
  </si>
  <si>
    <t>Restricted cash</t>
  </si>
  <si>
    <t>NON-CURRENT ASSETS</t>
  </si>
  <si>
    <t>Long-Term Assets</t>
  </si>
  <si>
    <t>Accounts Receivable from the State Finance Secretariat</t>
  </si>
  <si>
    <t>Defered taxes</t>
  </si>
  <si>
    <t>Ongoing service</t>
  </si>
  <si>
    <t>Imobilized Assets</t>
  </si>
  <si>
    <t>CURRENT LIABILITIES</t>
  </si>
  <si>
    <t>Loans and Financing</t>
  </si>
  <si>
    <t>Interest on Shareholders' Equity</t>
  </si>
  <si>
    <t>NON-CURRENT LIABILITIES</t>
  </si>
  <si>
    <t>Long-Term Liabilities</t>
  </si>
  <si>
    <t>Diferred PIS and COFINS</t>
  </si>
  <si>
    <t>Defered income taxes and social contribution</t>
  </si>
  <si>
    <t>Obligations connected to concession service</t>
  </si>
  <si>
    <t>SHAREHOLDERS' EQUITY</t>
  </si>
  <si>
    <t>Share Capital</t>
  </si>
  <si>
    <t>Income Reserves</t>
  </si>
  <si>
    <t>Reavaluation Reserves</t>
  </si>
  <si>
    <t>Other Comprehensive Results</t>
  </si>
  <si>
    <t>2021/2022</t>
  </si>
  <si>
    <t>2022/2023</t>
  </si>
  <si>
    <t>2023/2024</t>
  </si>
  <si>
    <t>2024/2025</t>
  </si>
  <si>
    <t>2025/2026</t>
  </si>
  <si>
    <t>2026/2027</t>
  </si>
  <si>
    <t>2027/2028</t>
  </si>
  <si>
    <t>2028/2029</t>
  </si>
  <si>
    <t>2029/2030</t>
  </si>
  <si>
    <t>2030/2031</t>
  </si>
  <si>
    <t>2031/2032</t>
  </si>
  <si>
    <t>2032/2033</t>
  </si>
  <si>
    <t>Financial Component ex-Ke (BRL million)</t>
  </si>
  <si>
    <t>Economic Component (BRL million)</t>
  </si>
  <si>
    <t>ESTADOS DE RESULTADOS SEPARADOS - CONSORCIO TRANSMANTARO</t>
  </si>
  <si>
    <t>Cifras expresadas en miles de dólares americanos</t>
  </si>
  <si>
    <t>Ingresos complementarios</t>
  </si>
  <si>
    <t>ESTADOS SEPARADOS DE SITUACIÓN FINANCIERA - CONSORCIO TRANSMANTARO</t>
  </si>
  <si>
    <t>Cuentas por cobrar comerciales</t>
  </si>
  <si>
    <t>Otras cuentas por cobrar</t>
  </si>
  <si>
    <t>Inventarios</t>
  </si>
  <si>
    <t>Otros activo no financieros</t>
  </si>
  <si>
    <t>Cuentas por cobrar partes relacionadas</t>
  </si>
  <si>
    <t>Crédito Fiscal</t>
  </si>
  <si>
    <t>Cuentas por pagar comerciales</t>
  </si>
  <si>
    <t>Otras cuentas por pagar</t>
  </si>
  <si>
    <t>Obligaciones financieras CP</t>
  </si>
  <si>
    <t>Cuentas por pagar vinculadas</t>
  </si>
  <si>
    <t>Otras provisiones</t>
  </si>
  <si>
    <t>Cuentas por pagar a vinculadas LP</t>
  </si>
  <si>
    <t>Obligaciones financieras LP</t>
  </si>
  <si>
    <t>Impuesto a la renta y participación diferida</t>
  </si>
  <si>
    <t>Otras reservas de capital</t>
  </si>
  <si>
    <t>Resultados acumulados</t>
  </si>
  <si>
    <t>ESTADOS DE RESULTADOS SEPARADOS - ISA REP</t>
  </si>
  <si>
    <t>Servicios de Transmisión de energia</t>
  </si>
  <si>
    <t xml:space="preserve">Ingresos complementarios </t>
  </si>
  <si>
    <t>Otros ingresos operativos</t>
  </si>
  <si>
    <t>ESTADOS SEPARADOS DE SITUACIÓN FINANCIERA - ISA REP</t>
  </si>
  <si>
    <t>Cuentas por cobrar a relacionadas</t>
  </si>
  <si>
    <t>Suministros y repuestos, neto</t>
  </si>
  <si>
    <t>Gastos contratados por anticipado</t>
  </si>
  <si>
    <t>Cuentas por cobrar comerciales, neto</t>
  </si>
  <si>
    <t>Cuentas por cobrar a relacionadas a largo plazo</t>
  </si>
  <si>
    <t>Otras cuentas por cobrar a largo plazo</t>
  </si>
  <si>
    <t>Instalaciones, muebles y equipo, neto</t>
  </si>
  <si>
    <t>Arrendamientos</t>
  </si>
  <si>
    <t>Activos intangibles, neto</t>
  </si>
  <si>
    <t>Cuentas por pagar a relacionadas</t>
  </si>
  <si>
    <t>Tributos y contribuciones por pagar</t>
  </si>
  <si>
    <t>Obligaciones financieras</t>
  </si>
  <si>
    <t>Otras cuentas por pagar a largo plazo</t>
  </si>
  <si>
    <t>Provisiones a largo plazo</t>
  </si>
  <si>
    <t>Obligaciones financieras a largo plazo</t>
  </si>
  <si>
    <t>Instrumentos derivados de cobertura</t>
  </si>
  <si>
    <t>Pasivo por impuesto a las ganancias diferido, neto</t>
  </si>
  <si>
    <t>Capital emitido</t>
  </si>
  <si>
    <t>Prima de emisión</t>
  </si>
  <si>
    <t>Otras reservas de patrimonio</t>
  </si>
  <si>
    <t>ESTADOS DE RESULTADOS SEPARADOS - ISA PERÚ</t>
  </si>
  <si>
    <t>ESTADOS SEPARADOS DE SITUACIÓN FINANCIERA - ISA PERÚ</t>
  </si>
  <si>
    <t>Efectivo y Equivalentes al Efectivo</t>
  </si>
  <si>
    <t>Cuentas por Cobrar Comerciales (neto)</t>
  </si>
  <si>
    <t>Otras Cuentas por Cobrar (neto)</t>
  </si>
  <si>
    <t>Cuentas por Cobrar a Entidades Relacionadas</t>
  </si>
  <si>
    <t xml:space="preserve">Activos por Impuestos a las Ganancias </t>
  </si>
  <si>
    <t>Otros Activos no financieros</t>
  </si>
  <si>
    <t>Cuentas por Cobrar Comerciales</t>
  </si>
  <si>
    <t>Inversiones Financieras</t>
  </si>
  <si>
    <t>Propiedades, Planta y Equipo (neto)</t>
  </si>
  <si>
    <t>Activos  intangibles</t>
  </si>
  <si>
    <t>Activos por Impuestos a las Ganancias Diferido</t>
  </si>
  <si>
    <t>Sobregiros bancarios</t>
  </si>
  <si>
    <t xml:space="preserve">Cuentas por Pagar Comerciales </t>
  </si>
  <si>
    <t xml:space="preserve">       Tributos por pagar</t>
  </si>
  <si>
    <t xml:space="preserve">       Remuneraciones por pagar</t>
  </si>
  <si>
    <t xml:space="preserve">       Otras cuentas por pagar</t>
  </si>
  <si>
    <t>Otras Cuentas por Pagar</t>
  </si>
  <si>
    <t>Cuentas por Pagar a Relacionadas</t>
  </si>
  <si>
    <t xml:space="preserve">Pasivos por Impuestos a las Ganancias </t>
  </si>
  <si>
    <t xml:space="preserve">Otras provisiones </t>
  </si>
  <si>
    <t>Obligaciones Financieras a corto plazo</t>
  </si>
  <si>
    <t>Obligaciones Financieras a largo plazo</t>
  </si>
  <si>
    <t>Instrumentos Financieros Derivados de Cobertura</t>
  </si>
  <si>
    <t>Pasivos por impuestos diferidos</t>
  </si>
  <si>
    <t>Capital Emitido</t>
  </si>
  <si>
    <t>Primas de Emisión</t>
  </si>
  <si>
    <t>Otras Reservas de Capital</t>
  </si>
  <si>
    <t>Resultados Acumulados</t>
  </si>
  <si>
    <t>Otras Reservas de Patrimonio</t>
  </si>
  <si>
    <t>ESTADOS DE RESULTADOS - ISA INTERCHILE</t>
  </si>
  <si>
    <t>Cifras expresadas en millones de dólares</t>
  </si>
  <si>
    <t>ESTADOS SEPARADOS DE SITUACIÓN FINANCIERA - INTERCHILE</t>
  </si>
  <si>
    <t>ESTADOS DE RESULTADOS  - RUTA DEL MAIPO</t>
  </si>
  <si>
    <t>Cifras expresadas en millones de pesos chilenos</t>
  </si>
  <si>
    <t>Ingresos por servicios de operación de vías</t>
  </si>
  <si>
    <t>Rendimientos financieros del activo de concesión</t>
  </si>
  <si>
    <t>ESTADOS SEPARADOS DE SITUACIÓN FINANCIERA-RUTA DEL MAIPO</t>
  </si>
  <si>
    <t>ESTADOS DE RESULTADOS  - RUTA DE LA ARAUCANÍA</t>
  </si>
  <si>
    <t>ESTADOS SEPARADOS DE SITUACIÓN FINANCIERA-RUTA DE LA ARAUCANÍA</t>
  </si>
  <si>
    <t>ESTADOS DE RESULTADOS  - RUTA DEL BOSQUE</t>
  </si>
  <si>
    <t>ESTADOS SEPARADOS DE SITUACIÓN FINANCIERA-RUTA DEL BOSQUE</t>
  </si>
  <si>
    <t>ESTADOS DE RESULTADOS  - RUTA DE LOS RÍOS</t>
  </si>
  <si>
    <t>ESTADOS SEPARADOS DE SITUACIÓN FINANCIERA-RUTA DE LOS RÍOS</t>
  </si>
  <si>
    <t>Filial</t>
  </si>
  <si>
    <t>Fuente de Financiación</t>
  </si>
  <si>
    <t>Moneda Crédito</t>
  </si>
  <si>
    <t>Fecha Inicial</t>
  </si>
  <si>
    <t>Fecha Vencimiento</t>
  </si>
  <si>
    <t>Plazo Años</t>
  </si>
  <si>
    <t>Tasa de Interés</t>
  </si>
  <si>
    <t>COLOMBIA</t>
  </si>
  <si>
    <t>Internexa</t>
  </si>
  <si>
    <t>PERU</t>
  </si>
  <si>
    <t>CTM</t>
  </si>
  <si>
    <t>ISA PERU</t>
  </si>
  <si>
    <t>ITX PERU</t>
  </si>
  <si>
    <t>BRASIL</t>
  </si>
  <si>
    <t>CTEEP</t>
  </si>
  <si>
    <t>IEMG</t>
  </si>
  <si>
    <t>Serra Do Japi</t>
  </si>
  <si>
    <t>IENNE</t>
  </si>
  <si>
    <t>CHILE</t>
  </si>
  <si>
    <t>ITX CHILE</t>
  </si>
  <si>
    <t>RUTA 
DE LOS RIOS</t>
  </si>
  <si>
    <t>RUTA DEL LOA</t>
  </si>
  <si>
    <t>INTERCHILE</t>
  </si>
  <si>
    <t>TOTAL OBLIGACIONES FINANCIERAS</t>
  </si>
  <si>
    <t>Fecha Emisión</t>
  </si>
  <si>
    <t>COP</t>
  </si>
  <si>
    <t>⁺</t>
  </si>
  <si>
    <t>TRANSELCA</t>
  </si>
  <si>
    <t>USD</t>
  </si>
  <si>
    <t>BRL</t>
  </si>
  <si>
    <t xml:space="preserve">CDI </t>
  </si>
  <si>
    <t>RUTA DEL 
MAIPO</t>
  </si>
  <si>
    <t>UF</t>
  </si>
  <si>
    <t>TOTAL BONOS</t>
  </si>
  <si>
    <t>Cifras en millones de pesos</t>
  </si>
  <si>
    <t>CAPEX CONSOLIDADO</t>
  </si>
  <si>
    <t>Colombia</t>
  </si>
  <si>
    <t>XM</t>
  </si>
  <si>
    <t>SIR</t>
  </si>
  <si>
    <t>Total Colombia</t>
  </si>
  <si>
    <t>Perú</t>
  </si>
  <si>
    <t>Total Perú</t>
  </si>
  <si>
    <t>Brasil</t>
  </si>
  <si>
    <t>Total Brasil</t>
  </si>
  <si>
    <t>Bolivia y Argentina</t>
  </si>
  <si>
    <t>Total</t>
  </si>
  <si>
    <t>Chile</t>
  </si>
  <si>
    <t>Total Chile</t>
  </si>
  <si>
    <t>País</t>
  </si>
  <si>
    <t>Empresa</t>
  </si>
  <si>
    <t>Normatividad</t>
  </si>
  <si>
    <t>Entidad</t>
  </si>
  <si>
    <t>Vínculo (información pública)</t>
  </si>
  <si>
    <t>Observación</t>
  </si>
  <si>
    <t>Todos los transmisores</t>
  </si>
  <si>
    <t>Resolución 022 de 2001</t>
  </si>
  <si>
    <t>CREG</t>
  </si>
  <si>
    <t>http://apolo.creg.gov.co/Publicac.nsf/Documentos-Resoluciones?openview=</t>
  </si>
  <si>
    <t>General - Esquema de remuneración de los proyectos de transmisión que se ejecutan mediante el mecanismo de convocatorias</t>
  </si>
  <si>
    <t>Resolución 085 de 2002</t>
  </si>
  <si>
    <t>General - Modifica el esquema de remuneración de los proyectos de convocatoria</t>
  </si>
  <si>
    <t>Resolución 093 de 2007</t>
  </si>
  <si>
    <t>General - Modifica el esquema de remuneración de los proyectos de convocatoria, especialmente aspectos de garantías y fecha de puesta en operación</t>
  </si>
  <si>
    <t>Resolución 083 de 2008</t>
  </si>
  <si>
    <t>General - Metodología para el cálculo de la tasa de retorno aplicable a la remuneración de la actividad de transmisión de energía eléctrica y se fija dicha tasa.</t>
  </si>
  <si>
    <t>Resolución 011 de 2009</t>
  </si>
  <si>
    <t>General - Metodología de remuneración de la transmisión</t>
  </si>
  <si>
    <t>Resolución 035 de 2010</t>
  </si>
  <si>
    <t>General - Aprueba la tasa de descuento y el perfil de pagos para evaluar las propuestas que se presenten a las convocatorias que se adelanten para ejecutar proyectos de expansión</t>
  </si>
  <si>
    <t>Resolución 050 de 2010</t>
  </si>
  <si>
    <t>General - Precisa los mecanismos de verificación de la información de AOM entregada por los Transmisores Nacionales para el ajuste anual del %AOM a reconocer</t>
  </si>
  <si>
    <t>Resolución 147 de 2011</t>
  </si>
  <si>
    <t>General - Esquema de desarrollo y remuneración de las Ampliaciones</t>
  </si>
  <si>
    <t>Resolución 024 de 2012</t>
  </si>
  <si>
    <t>General - Ajusta aspectos relativos a la remuneración del AOM</t>
  </si>
  <si>
    <t>Resolución 064 de 2013</t>
  </si>
  <si>
    <t>General - Complementa el esquema de desarrollo y remuneración de las Ampliaciones</t>
  </si>
  <si>
    <t>Resolución 095 de 2015</t>
  </si>
  <si>
    <t>General - Metodología para el cálculo de la tasa de descuento que se aplicará en las actividades reguladas, incluída la transmisión nacional</t>
  </si>
  <si>
    <t>Resolución 067 de 1999</t>
  </si>
  <si>
    <t>Específica - Ingreso proyecto UPME 01-1999</t>
  </si>
  <si>
    <t>Resolución 078 de 1999</t>
  </si>
  <si>
    <t>Específica - Ingreso proyecto UPME 02-1999</t>
  </si>
  <si>
    <t>Resolución 004 de 2007</t>
  </si>
  <si>
    <t>Específica - Ingreso proyecto UPME 01-2003</t>
  </si>
  <si>
    <t>Resolución 058 de 2007</t>
  </si>
  <si>
    <t>Específica - Ingreso proyecto UPME 02-2003</t>
  </si>
  <si>
    <t>Resolución 089 de 2008</t>
  </si>
  <si>
    <t>Específica - Ingreso proyecto UPME 01-2007</t>
  </si>
  <si>
    <t>Resolución 185 de 2009</t>
  </si>
  <si>
    <t>Específica - Ingreso proyecto UPME 02-2008</t>
  </si>
  <si>
    <t>Resolución 063 de 2011</t>
  </si>
  <si>
    <t>Específica - Ingreso proyecto UPME 04-2009</t>
  </si>
  <si>
    <t>Resolución 080 de 2012</t>
  </si>
  <si>
    <t>Específica - Ingreso proyecto UPME 02-2010</t>
  </si>
  <si>
    <t>Resolución 005 de 2014</t>
  </si>
  <si>
    <t>Específica - Ingreso proyecto UPME 02-2013</t>
  </si>
  <si>
    <t>Resolución 116 de 2014</t>
  </si>
  <si>
    <t>Específica - Ingreso proyecto UPME 02-2014</t>
  </si>
  <si>
    <t>Resolución 137 de 2014</t>
  </si>
  <si>
    <t>Específica - Ingreso proyecto UPME 07-2013</t>
  </si>
  <si>
    <t>Resolución 146 de 2014</t>
  </si>
  <si>
    <t>Específica - Ingreso proyecto UPME 06-2013</t>
  </si>
  <si>
    <t>Resolución 046 de 2015</t>
  </si>
  <si>
    <t>Específica - Ingreso proyecto UPME 03-2014</t>
  </si>
  <si>
    <t>Resolución 048 de 2015</t>
  </si>
  <si>
    <t>Específica - Ingreso proyecto UPME 05-2014</t>
  </si>
  <si>
    <t>Resolución 063 de 2015</t>
  </si>
  <si>
    <t>Específica - Ingreso proyecto UPME 08-2014</t>
  </si>
  <si>
    <t>Resolución 235 de 2015</t>
  </si>
  <si>
    <t>Específica - Ingreso proyecto UPME 09-2015</t>
  </si>
  <si>
    <t>Resolución 092 de 2016</t>
  </si>
  <si>
    <t>Específica - Ingreso proyecto UPME 03-2016</t>
  </si>
  <si>
    <t>Resolución 138 de 2017</t>
  </si>
  <si>
    <t>Específica - Ingreso proyecto UPME 09-2016</t>
  </si>
  <si>
    <t>Resolución 116 de 2017</t>
  </si>
  <si>
    <t>Específica - Ingreso proyecto UPME 01-2017</t>
  </si>
  <si>
    <t>Resolución 099 de 2018</t>
  </si>
  <si>
    <t>Específica - Ingreso proyecto UPME 01-2018</t>
  </si>
  <si>
    <t>Resolución 012 de 2019</t>
  </si>
  <si>
    <t>Específica - Ingreso proyecto UPME 07-2017</t>
  </si>
  <si>
    <t>ISA e INTERCOLOMBIA</t>
  </si>
  <si>
    <t>Resolución 160 de 2019</t>
  </si>
  <si>
    <t>Específica - Ingreso proyecto UPME 08-2017 y aprueba a INTERCOLOMBIA su representación</t>
  </si>
  <si>
    <t>INTERCOLOMBIA</t>
  </si>
  <si>
    <t>Resolución 177 de 2013</t>
  </si>
  <si>
    <t xml:space="preserve">Específica - Aprueba la base de activos y los parámetros necesarios para determinar la remuneración de INTERCOLOMBIA en el Sistema de Transmisión Nacional. </t>
  </si>
  <si>
    <t>Resolución 144 de 2014</t>
  </si>
  <si>
    <t>Específica - Aprueba a INTERCOLOMBIA la representación del Proyecto UPME-04-2009</t>
  </si>
  <si>
    <t>Resolución 167 de 2014</t>
  </si>
  <si>
    <t>Específica - Actualiza la base de activos de Intercolombia S.A. E.S.P. Subestación Cerromatoso.</t>
  </si>
  <si>
    <t>Resolución 169 de 2015</t>
  </si>
  <si>
    <t>Específica - Actualiza la base de activos de Intercolombia S.A. E.S.P. Subestación Bacatá 500 kV.</t>
  </si>
  <si>
    <t>Resolución 233 de 2015</t>
  </si>
  <si>
    <t>Específica - Actualiza la base de activos de Intercolombia S.A. E.S.P. Subestación El Bosque 220 kV y Termocol 220 kV.</t>
  </si>
  <si>
    <t>Resolución 006 de 2016</t>
  </si>
  <si>
    <t>Específica - Aprueba a INTERCOLOMBIA la representación de los Proyectos UPME-02-2013 y UPME-02-2014</t>
  </si>
  <si>
    <t>Resolución 251 de 2016</t>
  </si>
  <si>
    <t>Específica - Aprueba a INTERCOLOMBIA la representación de los Proyectos UPME-08-2014 y UPME-09-2015</t>
  </si>
  <si>
    <t>Resolución 059 de 2017</t>
  </si>
  <si>
    <t>Específica - Actualiza la base de activos de Intercolombia S.A. E.S.P. Betania – Ibagué 230 kV.</t>
  </si>
  <si>
    <t>Resolución 032 de 2018</t>
  </si>
  <si>
    <t>Específica - Actualiza la base de activos de Intercolombia S.A. E.S.P. Subestación Urabá 220 kV y Cuestecitas 220 kV.</t>
  </si>
  <si>
    <t>Resolución 047 de 2018</t>
  </si>
  <si>
    <t>Específica - Aprueba a INTERCOLOMBIA la representación del Proyecto UPME-06-2013</t>
  </si>
  <si>
    <t>Resolución 023 de 2019</t>
  </si>
  <si>
    <t>Específica - Actualiza la base de activos de Intercolombia S.A. E.S.P. Esmeralda – La Hermosa 230 kV.</t>
  </si>
  <si>
    <t>Resolución 032 de 2019</t>
  </si>
  <si>
    <t>Específica - Aprueba a INTERCOLOMBIA la representación del Proyecto UPME-01-2017</t>
  </si>
  <si>
    <t>Resolución 047 de 2019</t>
  </si>
  <si>
    <t>Específica - Aprueba a INTERCOLOMBIA la representación del Proyecto UPME-07-2013</t>
  </si>
  <si>
    <t>Resolución 131 de 2019</t>
  </si>
  <si>
    <t>Específica - Actualiza el AOM de INTERCOLOMBIA, excluyendo el correspondiente a los activos del STN de la Subestación Betania 230 kV.</t>
  </si>
  <si>
    <t>Resolución 061 de 2011</t>
  </si>
  <si>
    <t xml:space="preserve">Específica - Aprueba la base de activos y los parámetros necesarios para determinar la remuneración de TRANSELCA en el Sistema de Transmisión Nacional. </t>
  </si>
  <si>
    <t>Resolución 105 de 2011</t>
  </si>
  <si>
    <t>Específica - Actualiza la base de activos de Intercolombia S.A. E.S.P. Subestación Santa Marta 220 kV.</t>
  </si>
  <si>
    <t>Resolución 107 de 2012</t>
  </si>
  <si>
    <t>Específica - Actualiza la base de activos de Intercolombia S.A. E.S.P. Subestación Fundación 220 kV.</t>
  </si>
  <si>
    <t>Resolución 009 de 2013</t>
  </si>
  <si>
    <t>Resolución 072 de 2015</t>
  </si>
  <si>
    <t>Específica - Actualiza la base de activos de Intercolombia S.A. E.S.P. Subestación Sabanalarga 220 kV.</t>
  </si>
  <si>
    <t>Resolución 173 de 2016</t>
  </si>
  <si>
    <t>Específica - Actualiza la base de activos de Intercolombia S.A. E.S.P. Subestación Tebsa 220 kV.</t>
  </si>
  <si>
    <t>Resolución 136A de 2018</t>
  </si>
  <si>
    <t>Específica - Actualiza la base de activos de Intercolombia S.A. E.S.P. Subestación Nueva Barranquilla 220 kV.</t>
  </si>
  <si>
    <t>Ley de Concesiones Eléctricas</t>
  </si>
  <si>
    <t>OSINERGMIN</t>
  </si>
  <si>
    <t>https://www.osinergmin.gob.pe/cartas/documentos/electricidad/normativa/LEY_CONCESIONES_ELECTRICAS.pdf</t>
  </si>
  <si>
    <t>General - Marco normativo eléctrico</t>
  </si>
  <si>
    <t>Reglamento de la Ley de Concesiones eléctricas</t>
  </si>
  <si>
    <t>https://www.osinergmin.gob.pe/cartas/documentos/electricidad/normativa/DS-009-93-EM-REGLAMENTO-LCE.pdf</t>
  </si>
  <si>
    <t>Ley 28832</t>
  </si>
  <si>
    <t>http://www2.osinerg.gob.pe/MarcoLegal/pdf/LEY%2028832.pdf</t>
  </si>
  <si>
    <t>Reglamento de Transmisión</t>
  </si>
  <si>
    <t>https://www.osinergmin.gob.pe/seccion/centro_documental/PlantillaMarcoLegalBusqueda/Decreto%20Supremo%20N%C2%B0%20027-2007-EM%20-%20Reglamento%20de%20Transmisi%C3%B3n.pdf</t>
  </si>
  <si>
    <t>General - Marco normativo de transmisión</t>
  </si>
  <si>
    <t>Reglamento de Transmisión (Actualización)</t>
  </si>
  <si>
    <t>http://www2.congreso.gob.pe/sicr/cendocbib/con5_uibd.nsf/1B334AA6E22479B2052582430057C4C3/$FILE/027-2007-EM.pdf</t>
  </si>
  <si>
    <t>General - Marco normativo de transmisión (versión actualizada)</t>
  </si>
  <si>
    <t>Resolución N° 068-2020</t>
  </si>
  <si>
    <t>https://www.osinergmin.gob.pe/Resoluciones/pdf/2020/Osinergmin-068-2020-OS-CD.pdf</t>
  </si>
  <si>
    <t>General - Regulación Tarifaria (SPT y SGT) 2020-2021</t>
  </si>
  <si>
    <t>Resolución N° 0124-2020</t>
  </si>
  <si>
    <t>https://www.osinergmin.gob.pe/Resoluciones/pdf/2020/Osinergmin-124-2020-OS-CD.pdf</t>
  </si>
  <si>
    <t>General - Regulación Tarifaria (SPT y SGT) 2020-2021, Resolución complementaria</t>
  </si>
  <si>
    <t>Resolución N° 078-2020</t>
  </si>
  <si>
    <t>https://www.osinergmin.gob.pe/Resoluciones/pdf/2020/Osinergmin-078-2020-OS-CD.pdf</t>
  </si>
  <si>
    <t>General - Liquidación de ingresos SST y SCT 2020</t>
  </si>
  <si>
    <t>Resolución N° 0140-2020</t>
  </si>
  <si>
    <t>https://www.osinergmin.gob.pe/Resoluciones/pdf/2020/Osinergmin-140-2020-OS-CD.pdf</t>
  </si>
  <si>
    <t>General - Liquidación de ingresos SST y SCT 2020, Resolución complementaria</t>
  </si>
  <si>
    <t>Resolución N° 061-2017</t>
  </si>
  <si>
    <t>http://www2.osinerg.gob.pe/Resoluciones/pdf/2017/OSINERGMIN%20No.061-2017-OS-CD.pdf</t>
  </si>
  <si>
    <t>General - Regulación Tarifaria (SST y SCT) 2017-2021</t>
  </si>
  <si>
    <t>Resolución N° 129-2017</t>
  </si>
  <si>
    <t>http://www2.osinerg.gob.pe/Resoluciones/pdf/2017/OSINERGMIN%20No.129-2017-OS-CD.pdf</t>
  </si>
  <si>
    <t>General - Regulación Tarifaria (SST y SCT) 2017-2021, Resolución complementaria</t>
  </si>
  <si>
    <t>Resolución N° 055-2020</t>
  </si>
  <si>
    <t>https://www.osinergmin.gob.pe/Resoluciones/pdf/2020/Osinergmin-055-2020-OS-CD.pdf</t>
  </si>
  <si>
    <t>General - Procedimiento de Liquidación de ingresos de REP, SPT y SGT</t>
  </si>
  <si>
    <t>Resolución N° 056-2020</t>
  </si>
  <si>
    <t>https://www.osinergmin.gob.pe/Resoluciones/pdf/2020/Osinergmin-056-2020-OS-CD.pdf</t>
  </si>
  <si>
    <t>General - Procedimiento de Liquidación de ingresos del SST y SCT</t>
  </si>
  <si>
    <t>Resolución N° 042-2020</t>
  </si>
  <si>
    <t>https://www.osinergmin.gob.pe/Resoluciones/pdf/2020/Osinergmin-042-2020-OS-CD.pdf</t>
  </si>
  <si>
    <t>General - Actualización de valoración de módulos de inversión (aplicable a transmisión sin contratos)</t>
  </si>
  <si>
    <t>Resolución N° 147-2015</t>
  </si>
  <si>
    <t>https://www.osinergmin.gob.pe/Resoluciones/pdf/2015/OSINERGMIN%20No.147-2015-OS-CD.pdf</t>
  </si>
  <si>
    <t>General - Actualización de valoración del porcentaje de costos de operación y mantenimiento (aplicable a transmisión sin contratos)</t>
  </si>
  <si>
    <t>Contrato de Concesión</t>
  </si>
  <si>
    <t>PROINVERSIÓN</t>
  </si>
  <si>
    <t>https://www.proyectosapp.pe/RepositorioAPS/0/0/JER/PAETECENETESUR/Contrato%20Etecen%20-%20Etesur/Contrato_EtecenEtesur.pdf</t>
  </si>
  <si>
    <t>Específica - Contrato de concesión. No incluye adendas.</t>
  </si>
  <si>
    <t>Contratos de Concesión</t>
  </si>
  <si>
    <t>https://www.proyectosapp.pe/RepositorioAPS/0/0/JER/PATRANSMISIONMS/Contrato.pdf</t>
  </si>
  <si>
    <t>Específica - Contrato BOOT inicial. No incluye adendas.</t>
  </si>
  <si>
    <t>https://www.proyectosapp.pe/RepositorioAPS/0/0/JER/PALINEAOROYACARHUAMAYO/Contrato.pdf</t>
  </si>
  <si>
    <t>Contratos SGT y SCT</t>
  </si>
  <si>
    <t>https://www.proyectosapp.pe/modulos/JER/PlantillaStandard.aspx?are=0&amp;prf=2&amp;jer=7649&amp;sec=22</t>
  </si>
  <si>
    <t>General - Repositorio de todos los contratos suscritos con el Gobierno, entre los que se encuentran los contratos SGT y SCT licitados por PROINVERSIÓN</t>
  </si>
  <si>
    <t>Bolivia</t>
  </si>
  <si>
    <t>LEY DE ELECTRICIDAD 1604 DE 21 DE DICIEMBRE DE 1994</t>
  </si>
  <si>
    <t>AETN</t>
  </si>
  <si>
    <t>https://sawi.aetn.gob.bo/docfly/app/webroot/uploads/IMG-ML_LA-admin-2010-09-23-1604.pdf</t>
  </si>
  <si>
    <t>General - Marco normativo eléctrico boliviano</t>
  </si>
  <si>
    <t>Reglamento de precios y tarifas - Decreto Supremo N° 26094 de 2 de Marzo de 2001</t>
  </si>
  <si>
    <t>https://sawi.aetn.gob.bo/docfly/app/webroot/uploads/IMG-ML_RLE-admin-2010-09-23-26094.pdf</t>
  </si>
  <si>
    <t>General - Reglamentación de ingresos del sector</t>
  </si>
  <si>
    <t>Reglamento de Concesiones, Licencias y Licencias Provisionales (RCLLP) - Decreto Supremo N° 24043 de 28 de Junio de 1995</t>
  </si>
  <si>
    <t>https://sawi.aetn.gob.bo/docfly/app/webroot/uploads/IMG---2010-09-29-24043.pdf</t>
  </si>
  <si>
    <t>General - Reglamentación de creación de concesiones y licencias</t>
  </si>
  <si>
    <t>ISA Bolivia</t>
  </si>
  <si>
    <t>Resolución AE_R_178_2017</t>
  </si>
  <si>
    <t xml:space="preserve">https://srvdocs.aetn.gob.bo/ae/resolucion/2017/AE_R_178_17.pdf </t>
  </si>
  <si>
    <t>Específica - Aprobación de costos de transmisión - Aprobar los Costos de Inversión Base, Costos Anuales de Inversión y Costos Anuales de Operación, Mantenimiento y Administración del Sistema de Transmisión Económicamente Adaptado (STEA) de las instalaciones pertenecientes al Sistema Troncal de Interconexión (STI), de propiedad de la empresa ISA Bolivia S.A., correspondiente al periodo mayo 2017 – abril 2021, así como sus respectivas Fórmulas de Indexación.</t>
  </si>
  <si>
    <t>Aprobar los Costos de Inversión Base, Costos Anuales de Inversión y Costos Anuales de Operación, Mantenimiento y Administración del Sistema de Transmisión Económicamente Adaptado (STEA) de las instalaciones pertenecientes al Sistema Troncal de Interconexión (STI), de propiedad de la empresa ISA Bolivia S.A., correspondiente al periodo mayo 2017 – abril 2021, así como sus respectivas Fórmulas de Indexación.</t>
  </si>
  <si>
    <t>Resolución AE_R_307_17</t>
  </si>
  <si>
    <t>https://srvdocs.aetn.gob.bo/ae/resolucion/2017/AE_R_307_17.pdf</t>
  </si>
  <si>
    <t>Específica - Ampliación de instalaciones - Establecer el monto reconocido y ejecutado por la AE para el proyecto "Implementación de cuatro reactores de neutro ejecutado por la empresa ISA Boliva, alcanza un monto de 455.617,14 USD</t>
  </si>
  <si>
    <t>Establecer el monto reconocido y ejecutado por la AE para el proyecto "Implementación de cuatro reactores de neutro ejecutado por la empresa ISA Boliva, alcanza un monto de 455.617,14 USD</t>
  </si>
  <si>
    <t>Resolución AE_R_606_2016</t>
  </si>
  <si>
    <t>https://srvdocs.aetn.gob.bo/ae/resolucion/2016/AE_R_DLG_606_A_16.pdf</t>
  </si>
  <si>
    <t>Específica - Ampliación de instalaciones - Aceptar la solicitud de la empresa ISA Bolivia para la implementación del proyecto "Adecuación de la barra de la subestación Urubó 230 kV y salida de línea de transmisión Urubó-Warnes 230 kV" para aprobar el sistema troncal de interconexión (STI) con la incorporación del proyecto "Adecuación de la barra de la subestación Urubó 230 kV" aprobar el valor del STEA con el monto de 386.675,53 US (Trescientos ochenta y seis mil seiscientos setenta y cinco 53/100)</t>
  </si>
  <si>
    <t>Aceptar la solicitud de la empresa ISA Bolivia para la implementación del proyecto "Adecuación de la barra de la subestación Urubó 230 kV y salida de línea de transmisión Urubó-Warnes 230 kV" para aprobar el sistema troncal de interconexión (STI) con la incorporación del proyecto "Adecuación de la barra de la subestación Urubó 230 kV" aprobar el valor del STEA con el monto de 386.675,53 US (Trescientos ochenta y seis mil seiscientos setenta y cinco 53/100)</t>
  </si>
  <si>
    <t>Resolución AE_568-2018</t>
  </si>
  <si>
    <t>https://srvdocs.aetn.gob.bo/ae/resolucion/2018/AE_R_568_18.pdf</t>
  </si>
  <si>
    <t>Específica - Ampliación de instalaciones - Aceptar la solicitud presentada por ISA BOLIVIA S.A. para la implementación del proyecto "Ampliación de barra, patio 115 kV subestación Sucre 230/115/69" que permitirá transferir parte de la carga del nodo Sucre 69 kV, al nodo Sucre 115 kV con la finalidad de atender la demanda creciente de CESSA, aprobar el costo del STEA que asicende a USD 281.149,11</t>
  </si>
  <si>
    <t>Aceptar la solicitud presentada por ISA BOLIVIA S.A. para la implementación del proyecto "Ampliación de barra, patio 115 kV subestación Sucre 230/115/69" que permitirá transferir parte de la carga del nodo Sucre 69 kV, al nodo Sucre 115 kV con la finalidad de atender la demanda creciente de CESSA, aprobar el costo del STEA que asicende a USD 281.149,11</t>
  </si>
  <si>
    <t>Resolución AE_R_DLG_611_13</t>
  </si>
  <si>
    <t>https://srvdocs.aetn.gob.bo/ae/resolucion/2013/AE_R_DLG_611_13.pdf</t>
  </si>
  <si>
    <t xml:space="preserve">Específica - Ampliación de instalaciones - Aceptar la solicitud de la empresa Interconexión Eléctrica ISA Bolivia S.A. (ISA BOLIVIA), de incorporar el proyecto ¨Ampliación subestación Sucre ATR 230/115 kV¨, que tiene la finalidad de posibilitar la conexión de la línea de transmisión Sucre - Padilla en 115 kV que alimenta parte de la demanda del área rural de Sucre evitando racionamiento por limite de capacidad de la actual línea en 24,9 kV; y aprobar la expansión del sistema troncal de interconexión (STI) con la incorporación del proyecto ¨Ampliación subestación Sucre ATR 230/115 kV¨ de propiedad de ISA Bolivia con un valor de inversión de sistema de transmisión económicamente adaptado (STEA) de $Us. 8.003.109,78.- (Ocho millones tres mil ciento nueve 78/100 Dólares Estadounidenses).  </t>
  </si>
  <si>
    <t xml:space="preserve">Aceptar la solicitud de la empresa Interconexión Eléctrica ISA Bolivia S.A. (ISA BOLIVIA), de incorporar el proyecto ¨Ampliación subestación Sucre ATR 230/115 kV¨, que tiene la finalidad de posibilitar la conexión de la línea de transmisión Sucre - Padilla en 115 kV que alimenta parte de la demanda del área rural de Sucre evitando racionamiento por limite de capacidad de la actual línea en 24,9 kV; y aprobar la expansión del sistema troncal de interconexión (STI) con la incorporación del proyecto ¨Ampliación subestación Sucre ATR 230/115 kV¨ de propiedad de ISA Bolivia con un valor de inversión de sistema de transmisión económicamente adaptado (STEA) de $Us. 8.003.109,78.- (Ocho millones tres mil ciento nueve 78/100 Dólares Estadounidenses).  </t>
  </si>
  <si>
    <t>Resolución SSDE_326-06</t>
  </si>
  <si>
    <t>https://srvdocs.aetn.gob.bo/sde/resolucion_sde//SSDE_326-06.pdf</t>
  </si>
  <si>
    <t>Específica - Ampliación de instalaciones - Ampliar la licencia de transmisión, otorgada en favor de la empresa Interconexión electrica ISA Bolivia S.A., mediante resolución 114/2003 de 31 de julio de 2003 y modificada con las resoluciones SSDE 191/2004 y SSDE 320/2006 con la incorporación de un componente de transmisión Reactor de Subestación Urubó 230 kV</t>
  </si>
  <si>
    <t>Ampliar la licencia de transmisión, otorgada en favor de la empresa Interconexión electrica ISA Bolivia S.A., mediante resolución 114/2003 de 31 de julio de 2003 y modificada con las resoluciones SSDE 191/2004 y SSDE 320/2006 con la incorporación de un componente de transmisión Reactor de Subestación Urubó 230 kV</t>
  </si>
  <si>
    <t>Resolución SSDE_172-06</t>
  </si>
  <si>
    <t>https://srvdocs.aetn.gob.bo/sde/resolucion_sde//SSDE_172-06.pdf</t>
  </si>
  <si>
    <t>Específica - Ampliación de instalaciones - Apruebese la expansión del sistema troncal de interconexión (STI) con la incorporación de una bahía de acoplamiento en la subestación Punutuma. El valor del STEA a ser reconocido es de USD 1.083.704,48</t>
  </si>
  <si>
    <t>Apruebese la expansión del sistema troncal de interconexión (STI) con la incorporación de una bahía de acoplamiento en la subestación Punutuma. El valor del STEA a ser reconocido es de USD 1.083.704,48</t>
  </si>
  <si>
    <t>Resolución SSDE_333-07</t>
  </si>
  <si>
    <t>https://srvdocs.aetn.gob.bo/sde/resolucion_sde//SSDE_333-07.pdf</t>
  </si>
  <si>
    <t>Específica - Licencia de transmisión - Otorgar en favor de empresa interconexión eléctrica isa bolivia s.a. (isa bolivia), representada legalmente por fernando almario argüello, licencia para el ejercicio de la industria eléctrica en la actividad de transmisión para el proyecto "subestación arboleda 230/115 kv".</t>
  </si>
  <si>
    <t>Otorgar en favor de empresa interconexión eléctrica isa bolivia s.a. (isa bolivia), representada legalmente por fernando almario argüello, licencia para el ejercicio de la industria eléctrica en la actividad de transmisión para el proyecto "subestación arboleda 230/115 kv".</t>
  </si>
  <si>
    <t>Resolución SSDE 114-03</t>
  </si>
  <si>
    <t>https://srvdocs.aetn.gob.bo/sde/resolucion_sde//SSDE_114-03.pdf</t>
  </si>
  <si>
    <t>Específica - Licencia de transmisión - Otorga en favor de la empresa interconexión eléctrica isa bolivia s.a., representada legalmente por enrique barrios ponce de león y guillermo marquez moreno, licencia para el ejercicio de la industria eléctrica en la actividad de transmisión, para las líneas: santiváñez - sucre; sucre - punutuma; y carrasco - urubó.</t>
  </si>
  <si>
    <t>Otorga en favor de la empresa interconexión eléctrica isa bolivia s.a., representada legalmente por enrique barrios ponce de león y guillermo marquez moreno, licencia para el ejercicio de la industria eléctrica en la actividad de transmisión, para las líneas: santiváñez - sucre; sucre - punutuma; y carrasco - urubó.</t>
  </si>
  <si>
    <t>Todos los coordinados (empresas del mercado)</t>
  </si>
  <si>
    <t>Ley General de Servicios Eléctricos</t>
  </si>
  <si>
    <t>Ministerio de Energía</t>
  </si>
  <si>
    <t>https://www.bcn.cl/leychile/navegar?idNorma=258171</t>
  </si>
  <si>
    <t>General - Ley general aplicada al mercado de electricidad en Chile</t>
  </si>
  <si>
    <t>Ley 21.249</t>
  </si>
  <si>
    <t>https://www.bcn.cl/leychile/navegar?idNorma=1148163</t>
  </si>
  <si>
    <t>General - Dispone, de manera excepcional, las medidas que indica en favor de los usuarios finales de servicios sanitarios, electricidad y gas de red</t>
  </si>
  <si>
    <t>Interchile</t>
  </si>
  <si>
    <t>Decreto 109</t>
  </si>
  <si>
    <t>https://www.bcn.cl/leychile/navegar?idNorma=1048159</t>
  </si>
  <si>
    <t>Específica - Fija a empresa adjudicataria de los derechos de explotación y ejecución de las obras nuevas denominadas nueva línea cardones - maitencillo 2 x 500 kv, nueva línea maitencillo - pan de azúcar 2 x 500 kv y nueva línea pan de azúcar - polpaico 2 x 500 kv en el sistema de transmisión troncal del sistema interconectado central-P1</t>
  </si>
  <si>
    <t>Decreto 13T</t>
  </si>
  <si>
    <t>https://www.bcn.cl/leychile/navegar?idNorma=1074375</t>
  </si>
  <si>
    <t>Específica - Fija derechos de explotación y ejecución de las obras nuevas denominadas: "banco autotransformadores s/e nueva cardones, 500/220 kv, 750 mva", "banco autotransformadores s/e nueva maitencillo, 500/220 kv, 750 mva" y "banco autotransformadores s/e nueva pan de azúcar, 500/220 kv, 750 mva", en el sistema de transmisión troncal del sistema interconectado central a empresa adjudicataria que indica-P4</t>
  </si>
  <si>
    <t>Decreto 5T</t>
  </si>
  <si>
    <t>https://www.bcn.cl/leychile/navegar?idNorma=1055239</t>
  </si>
  <si>
    <t>Específica - Fija empresa adjudicataria de los derechos de explotación y ejecución de la obra nueva denominada nueva línea 2x220 kv encuentro - lagunas primer circuito, en el sistema de transmisión troncal del sistema interconectado del norte grande-P2</t>
  </si>
  <si>
    <t>Decreto 9T</t>
  </si>
  <si>
    <t>https://www.bcn.cl/leychile/navegar?idNorma=1114702</t>
  </si>
  <si>
    <t>Específica - Fija derechos y condiciones de ejecución y explotación de la obra nueva denominada: "nuevo banco de autotransformadores 1x750 mva 500/220 kv en s/e nueva cardones, s/e nueva maitencillo y s/e nueva pan de azúcar", perteneciente al sistema de transmisión nacional a empresa adjudicataria que indica-p7</t>
  </si>
  <si>
    <t>Decreto 201</t>
  </si>
  <si>
    <t>https://www.bcn.cl/leychile/navegar?idNorma=1063209</t>
  </si>
  <si>
    <t>General - Fija plan de expansión del sistema de transmisión troncal para los doce meses siguientes y fija valor de inversión referencial para nuevo proceso de licitación de obra que indica-P3</t>
  </si>
  <si>
    <t>Decreto 373</t>
  </si>
  <si>
    <t>https://www.bcn.cl/leychile/navegar?idNorma=1090691</t>
  </si>
  <si>
    <t>General - Fija plan de expansión del sistema de transmisión troncal para los doce meses siguientes-P6</t>
  </si>
  <si>
    <t>Decreto 422</t>
  </si>
  <si>
    <t>https://www.bcn.cl/leychile/navegar?idNorma=1106728</t>
  </si>
  <si>
    <t>General - Fija plan de expansión del sistema de transmisión troncal para los doce meses siguientes-P8</t>
  </si>
  <si>
    <t>Decreto 198</t>
  </si>
  <si>
    <t>https://www.bcn.cl/leychile/navegar?idNorma=1134824</t>
  </si>
  <si>
    <t>General - Fija obras de ampliación de los sistemas de transmisión nacional y zonal que deben iniciar su proceso de licitación en los doce meses siguientes, correspondientes al plan de expansión del año 2018</t>
  </si>
  <si>
    <t>Resolución 272</t>
  </si>
  <si>
    <t>Comisión Nacional de Energía</t>
  </si>
  <si>
    <t>https://www.cne.cl/wp-content/uploads/2019/04/RE-CNE-N%C2%B0272-26.04.2019-Bases-Definitivas-Valorizacio%CC%81n-2020-2023.pdf</t>
  </si>
  <si>
    <t>General - Tasa aplicada en el proceso de valorización 2020-2023</t>
  </si>
  <si>
    <t>Empresas de Transmisión</t>
  </si>
  <si>
    <t>Oficio Ordinario N°71</t>
  </si>
  <si>
    <t>https://www.cne.cl/wp-content/uploads/2019/05/2018-02-02-CNE-OF-ORD-N71.pdf</t>
  </si>
  <si>
    <t>General - Base de datos de transmisión para tarificación</t>
  </si>
  <si>
    <t>Decreto supremo 10</t>
  </si>
  <si>
    <t>https://www.cne.cl/wp-content/uploads/2020/06/Reglamento-Calificacion-instalaciones-Transmision-13062020.pdf</t>
  </si>
  <si>
    <t>General - Aprueba reglamento de calificación, valorización, tarificación y remuneración de las instalaciones de transmisión</t>
  </si>
  <si>
    <t>Dividendos recibidos por la matriz</t>
  </si>
  <si>
    <t>PDI</t>
  </si>
  <si>
    <t>EPR</t>
  </si>
  <si>
    <t>ISA Inversiones Chile</t>
  </si>
  <si>
    <t>ISA Capital do Brasil</t>
  </si>
  <si>
    <t>ISA Investimentos</t>
  </si>
  <si>
    <t>Total exterior</t>
  </si>
  <si>
    <t>Total dividendos recibidos</t>
  </si>
  <si>
    <t>Dividendos entregados por la matriz</t>
  </si>
  <si>
    <t>Dividendo total</t>
  </si>
  <si>
    <t>Dividendo por acción</t>
  </si>
  <si>
    <t>Nombre del proyecto</t>
  </si>
  <si>
    <t>kms de circuito</t>
  </si>
  <si>
    <t>Fecha PES (trimestre)</t>
  </si>
  <si>
    <t>Avance físico real</t>
  </si>
  <si>
    <t>Ingreso anual (mill USD)</t>
  </si>
  <si>
    <t>UPME 05-2014 Cerromatoso-Chinú-Copey</t>
  </si>
  <si>
    <t>UPME 09-2016 Línea de Transmisión  Copey - Cuestecitas - Fundación</t>
  </si>
  <si>
    <t>UPME 07-2017 Sabanalarga - Bolívar 500 kV</t>
  </si>
  <si>
    <t>UPME 06-2018 Subestación el Río 220 kV y LT asociadas</t>
  </si>
  <si>
    <t>UPME 04-2019 Línea de transmisión La Loma - Sogamoso 500 kV</t>
  </si>
  <si>
    <t>IEITAÚNAS (L21)</t>
  </si>
  <si>
    <t>IEAIMORÉS(L3)</t>
  </si>
  <si>
    <t>IEPARAGUAÇU (L4)</t>
  </si>
  <si>
    <t>IVAÍ(L1)</t>
  </si>
  <si>
    <t>IE BIGUAÇU</t>
  </si>
  <si>
    <t>TRES LAGOAS (L6)</t>
  </si>
  <si>
    <t>MINUANO (L1)</t>
  </si>
  <si>
    <t>TRIANGULO MINEIRO (L7)</t>
  </si>
  <si>
    <t>Nota preventiva</t>
  </si>
  <si>
    <r>
      <rPr>
        <sz val="20"/>
        <color theme="1"/>
        <rFont val="Tahoma"/>
        <family val="2"/>
      </rPr>
      <t>Normatividad principal y contratos asociados con la REMUNERACIÓN del Transporte de Energí</t>
    </r>
    <r>
      <rPr>
        <sz val="20"/>
        <color theme="1"/>
        <rFont val="Calibri"/>
        <family val="2"/>
        <scheme val="minor"/>
      </rPr>
      <t>a</t>
    </r>
  </si>
  <si>
    <t>Contenido</t>
  </si>
  <si>
    <t>__________________________________________________________________________________________________________________________________________</t>
  </si>
  <si>
    <t>__________________________________________________________________________________________________________________________________________________________</t>
  </si>
  <si>
    <t>Flujo RBSE</t>
  </si>
  <si>
    <t>Regulación TE</t>
  </si>
  <si>
    <t>Payout CTEEP: 75% utilidad neta regulatoria</t>
  </si>
  <si>
    <t>Notas</t>
  </si>
  <si>
    <t>Kit de Valoración</t>
  </si>
  <si>
    <t>IBR (6M)</t>
  </si>
  <si>
    <t>IBR (3M)</t>
  </si>
  <si>
    <t>China Construction Bank</t>
  </si>
  <si>
    <t>BCI</t>
  </si>
  <si>
    <t>4T20</t>
  </si>
  <si>
    <t>4Q20</t>
  </si>
  <si>
    <t>COSTERA</t>
  </si>
  <si>
    <t>INTERVIAL</t>
  </si>
  <si>
    <t>Activo por impuesto a las ganancias</t>
  </si>
  <si>
    <t>Crédito fiscal por IGV</t>
  </si>
  <si>
    <t xml:space="preserve">              -  </t>
  </si>
  <si>
    <t> </t>
  </si>
  <si>
    <t>Efficiency Gain in Infrastructure Implementation</t>
  </si>
  <si>
    <t>Revenues – Periodic Tariff Reset (RTP)</t>
  </si>
  <si>
    <t>Benefit to employess - Actuarial Deficit</t>
  </si>
  <si>
    <t>Actuarial surplus</t>
  </si>
  <si>
    <t>Employee Benefit - Actuarial Deficit</t>
  </si>
  <si>
    <t>Non-controlling shareholders' share of investment funds</t>
  </si>
  <si>
    <t>El 1 de diciembre de 2020 se publicó el Oficio CVM 04/2020 con orientación sobre los aspectos relevantes de IFRS 15 (CPC 47) y IFRS 9 (CPC 48) que se observarán en los demonstrativos del 31 de Diciembre de 2020. A partir de la adopción de estos lineamientos, la Compañía revisó las prácticas contables que totalizaron un impacto positivo de R$674 millones:
(i)	La Compañía comienza a reconocer margen de utilidad durante la fase de construcción de la obra y no solo en la entrada en la operación. Este margen se revisará anualmente.
(ii)	La tasa aplicada al activo contractual refleja la tasa implícita del flujo financiero de cada proyecto y considera la estimación de la empresa para valorar el componente financiero según características macroeconómicas alineado con la metodología de la Autoridad Concedente y la estructura de costo de capital individual de los proyectos.
(iii)	El RBSE ahora se clasifica como un activo contractual, ya no como un activo financiero.El RBSE ahora se clasifica como un activo contractual, ya no como un activo financiero.</t>
  </si>
  <si>
    <t>auditada. Por lo anterior, la información contenida en este documento es susceptible de modificaciones, complementos o enmiendas sin necesidad de aviso previo. Igualmente, la información</t>
  </si>
  <si>
    <t>Regulación Vías</t>
  </si>
  <si>
    <t>1T21</t>
  </si>
  <si>
    <t>Ampliación mando sincronizado Nuevo Cardones, Nuevo Maitencillo y Nuevo Pan de Azúcar</t>
  </si>
  <si>
    <t>Ampliación aumento de capacidad LT Maitencillo - Nueva Maitencillo</t>
  </si>
  <si>
    <t>Ampliación subestación Nuevo Pan de Azúcar</t>
  </si>
  <si>
    <t>RIACHO GRANDE</t>
  </si>
  <si>
    <t>Concesión</t>
  </si>
  <si>
    <t xml:space="preserve">Costera </t>
  </si>
  <si>
    <t>https://www.contratos.gov.co/consultas/detalleProceso.do?numConstancia=13-19-1611882</t>
  </si>
  <si>
    <t>http://www.concesioncostera.com/index.php/proyecto/documentacion</t>
  </si>
  <si>
    <t>Ruta del Maipo</t>
  </si>
  <si>
    <t>http://www.concesiones.cl/proyectos/Paginas/detalleExplotacion.aspx?item=36</t>
  </si>
  <si>
    <t>http://www.cmfchile.cl/institucional/mercados/entidad.php?auth=&amp;send=&amp;mercado=V&amp;rut=96875230&amp;grupo=&amp;tipoentidad=RVEMI&amp;vig=VI&amp;row=AAAwy2ACTAAAAWeAAL&amp;control=svs&amp;pestania=1</t>
  </si>
  <si>
    <t>Ruta del Bosque</t>
  </si>
  <si>
    <t>http://www.concesiones.cl/proyectos/Paginas/detalleExplotacion.aspx?item=29</t>
  </si>
  <si>
    <t>http://www.cmfchile.cl/institucional/mercados/entidad.php?auth=&amp;send=&amp;mercado=V&amp;rut=96843170&amp;grupo=&amp;tipoentidad=RVEMI&amp;vig=VI&amp;row=AAAwy2ACTAAABy9AAC&amp;control=svs&amp;pestania=1</t>
  </si>
  <si>
    <t>Ruta de Araucanía</t>
  </si>
  <si>
    <t>http://www.concesiones.cl/proyectos/Paginas/detalleExplotacion.aspx?item=30</t>
  </si>
  <si>
    <t>http://www.cmfchile.cl/institucional/mercados/entidad.php?auth=&amp;send=&amp;mercado=O&amp;rut=96869650&amp;grupo=&amp;tipoentidad=RGEIN&amp;vig=VI&amp;row=AAAwy2ACTAAABy8AAO&amp;control=svs&amp;pestania=1</t>
  </si>
  <si>
    <t>Ruta de los Ríos</t>
  </si>
  <si>
    <t>http://www.concesiones.cl/proyectos/Paginas/detalleExplotacion.aspx?item=34</t>
  </si>
  <si>
    <t xml:space="preserve"> http://www.cmfchile.cl/institucional/mercados/entidad.php?auth=&amp;send=&amp;mercado=O&amp;rut=96848050&amp;grupo=&amp;tipoentidad=RGEIN&amp;vig=VI&amp;row=AAAwy2ACTAAAAWbAAD&amp;control=svs&amp;pestania=1</t>
  </si>
  <si>
    <t>Rutas del Loa</t>
  </si>
  <si>
    <t>http://www.concesiones.cl/proyectos/Paginas/detalleConstruccion.aspx?item=184</t>
  </si>
  <si>
    <t xml:space="preserve"> http://www.cmfchile.cl/institucional/mercados/entidad.php?auth=&amp;send=&amp;mercado=O&amp;rut=76876635&amp;grupo=&amp;tipoentidad=RGEIN&amp;vig=VI&amp;row=AAAwy2ACTAAAAQnAAN&amp;control=svs&amp;pestania=1</t>
  </si>
  <si>
    <t>http://www.concesiones.cl/proyectos/Paginas/default.aspx</t>
  </si>
  <si>
    <t>Regulación y contratos asociados con concesiones viales</t>
  </si>
  <si>
    <t>Vínculo (Información pública)</t>
  </si>
  <si>
    <t>Descripción</t>
  </si>
  <si>
    <t>Contratos</t>
  </si>
  <si>
    <t>Informe anual</t>
  </si>
  <si>
    <t>Descripción y remuneración</t>
  </si>
  <si>
    <t>Informe anual, estados financieros</t>
  </si>
  <si>
    <t>Concesiones en operación, construcción, y ambos</t>
  </si>
  <si>
    <t>Todas las concesiones</t>
  </si>
  <si>
    <t>RUTA ARAUCANÍA</t>
  </si>
  <si>
    <t>1Q21</t>
  </si>
  <si>
    <t xml:space="preserve">Banco de Bogota </t>
  </si>
  <si>
    <t>IPC</t>
  </si>
  <si>
    <t>BBVA</t>
  </si>
  <si>
    <t>Banco Davivienda</t>
  </si>
  <si>
    <t>Scotiabank</t>
  </si>
  <si>
    <t>Bancolombia</t>
  </si>
  <si>
    <t>Banco de Occidente</t>
  </si>
  <si>
    <t>Ashmore-CAF</t>
  </si>
  <si>
    <t>UVR</t>
  </si>
  <si>
    <t xml:space="preserve">Tasa Fija </t>
  </si>
  <si>
    <t>FDN</t>
  </si>
  <si>
    <t>Banco Popular</t>
  </si>
  <si>
    <t>Davivienda</t>
  </si>
  <si>
    <t>Interbank</t>
  </si>
  <si>
    <t>Libor(3M)</t>
  </si>
  <si>
    <t>PEN</t>
  </si>
  <si>
    <t>BNDES III (FINEM)</t>
  </si>
  <si>
    <t xml:space="preserve">TJLP </t>
  </si>
  <si>
    <t>BNDES III (PSI)</t>
  </si>
  <si>
    <t>BNDES III (Social)</t>
  </si>
  <si>
    <t>BNDES IV</t>
  </si>
  <si>
    <t>BNDES IV (Social)</t>
  </si>
  <si>
    <t>CCB (Bradesco)</t>
  </si>
  <si>
    <t>BNDES (FINEM)</t>
  </si>
  <si>
    <t>BNDES (PSI)</t>
  </si>
  <si>
    <t>Banco do Nordeste</t>
  </si>
  <si>
    <t>Banco Safra</t>
  </si>
  <si>
    <t>Banco ABC</t>
  </si>
  <si>
    <t>CLP</t>
  </si>
  <si>
    <t>TAB (180)</t>
  </si>
  <si>
    <t>Banco de Chile Tramo B1</t>
  </si>
  <si>
    <t>TAB (360)</t>
  </si>
  <si>
    <t>Banco de Chile Tramo B2</t>
  </si>
  <si>
    <t>Banco de Chile Tramo F1</t>
  </si>
  <si>
    <t>TAB (30)</t>
  </si>
  <si>
    <t>Banco Corpbanca B1</t>
  </si>
  <si>
    <t>Banco Corpbanca B2</t>
  </si>
  <si>
    <t>Banco Corpbanca F1</t>
  </si>
  <si>
    <t>Banco del Estado B1</t>
  </si>
  <si>
    <t>Banco del Estado B2</t>
  </si>
  <si>
    <t>Banco del Estado F1</t>
  </si>
  <si>
    <t>Banco BICE</t>
  </si>
  <si>
    <t>Banco Security</t>
  </si>
  <si>
    <t>Banco BCI</t>
  </si>
  <si>
    <t>Banco Santander Chile</t>
  </si>
  <si>
    <t>Compañía de Seguros Euroamérica</t>
  </si>
  <si>
    <t>Compañía de Seguros Confuturo</t>
  </si>
  <si>
    <t>Banco Estado</t>
  </si>
  <si>
    <t>Fair Value Swap</t>
  </si>
  <si>
    <t>Programa Tramo 7 Serie A</t>
  </si>
  <si>
    <t>Programa Tramo 7 Serie B</t>
  </si>
  <si>
    <t>Programa Tramo 8 Serie C9</t>
  </si>
  <si>
    <t>Programa Tramo 8 Serie C15</t>
  </si>
  <si>
    <t>Programa Tramo 9 Serie C10</t>
  </si>
  <si>
    <t>Programa Tramo 9 Serie C15</t>
  </si>
  <si>
    <t>Programa Tramo 9 Serie C20</t>
  </si>
  <si>
    <t>Programa Tramo 10 Serie C8</t>
  </si>
  <si>
    <t>Programa Tramo 10 Serie C12</t>
  </si>
  <si>
    <t>Programa Tramo 10 Serie C25</t>
  </si>
  <si>
    <t>Programa Tramo 11 Serie A7</t>
  </si>
  <si>
    <t>Programa Tramo 11 Serie C15</t>
  </si>
  <si>
    <t>Programa Tramo 11 Serie C25</t>
  </si>
  <si>
    <t>Programa Tramo 12 Serie A8</t>
  </si>
  <si>
    <t>Programa Tramo 12 Serie C14</t>
  </si>
  <si>
    <t>Programa Tramo 12 Serie C30</t>
  </si>
  <si>
    <t>Programa Tramo 13 Serie C9</t>
  </si>
  <si>
    <t>Programa Tramo 13 Serie C15</t>
  </si>
  <si>
    <t>Programa Tramo 13 Serie C25</t>
  </si>
  <si>
    <t>Programa Tramo 14 Serie A9</t>
  </si>
  <si>
    <t>Programa Tramo 14 Serie G20</t>
  </si>
  <si>
    <t xml:space="preserve">Bonos Serie A </t>
  </si>
  <si>
    <t>Bonos Serie B</t>
  </si>
  <si>
    <t>Tercera Emisión - Tramo II</t>
  </si>
  <si>
    <t>2P 20va Emision (Serie A)</t>
  </si>
  <si>
    <t>3P 4ta Emision (Serie A)</t>
  </si>
  <si>
    <t>3P 1era Emision (Serie A)(1)(3)</t>
  </si>
  <si>
    <t>3P 1ra Emision (Serie B) (1)(3)</t>
  </si>
  <si>
    <t>CTM Bonos Internacionales</t>
  </si>
  <si>
    <t>IPCA</t>
  </si>
  <si>
    <t>Debentures 5ª Emissão</t>
  </si>
  <si>
    <t>Debentures 7ª Emissão</t>
  </si>
  <si>
    <t>Debentures 8ª Emissão</t>
  </si>
  <si>
    <t>Debentures 9ª Emissão (Serie1)</t>
  </si>
  <si>
    <t>Debentures 9ª Emissão (Serie2)</t>
  </si>
  <si>
    <t>Debentures 10ª Emissão</t>
  </si>
  <si>
    <t>Bono 144A (2)</t>
  </si>
  <si>
    <t>Bono Serie C</t>
  </si>
  <si>
    <t>Bono Serie D</t>
  </si>
  <si>
    <t>Bono Serie E</t>
  </si>
  <si>
    <t>Bono Serie F</t>
  </si>
  <si>
    <t>Bono Serie A</t>
  </si>
  <si>
    <t>(1) Bonos emitidos en PEN y se hizo un SWAP a USD con el Banco BBVA.</t>
  </si>
  <si>
    <t>(2) Bonos emitidos en USD y se hizo un SWAP a UF.</t>
  </si>
  <si>
    <t>(3) Opcion Call</t>
  </si>
  <si>
    <t>Adjustment Portion (PA)</t>
  </si>
  <si>
    <t xml:space="preserve">               -  </t>
  </si>
  <si>
    <t>6.52</t>
  </si>
  <si>
    <t>12.24</t>
  </si>
  <si>
    <t>25.43</t>
  </si>
  <si>
    <t>4.68</t>
  </si>
  <si>
    <t>92.54</t>
  </si>
  <si>
    <t>ESTADOS DE RESULTADOS  - RUTA COSTERA</t>
  </si>
  <si>
    <t>ESTADOS SEPARADOS DE SITUACIÓN FINANCIERA - RUTA COSTERA</t>
  </si>
  <si>
    <t>Activos Financieros Concesionados</t>
  </si>
  <si>
    <t>Cuentas comerciales y otras cuentas por cobrar, neto CP</t>
  </si>
  <si>
    <t>Cuentas comerciales y otras cuentas por cobrar, neto LP</t>
  </si>
  <si>
    <t>Instrumentos Financieros</t>
  </si>
  <si>
    <t>Préstamos y Financiaciones</t>
  </si>
  <si>
    <t>Recursos ANI</t>
  </si>
  <si>
    <t>Estados financieros trimestrales Vías Colombia</t>
  </si>
  <si>
    <t>Conexión Windpeshi</t>
  </si>
  <si>
    <t>2022 trim 3*</t>
  </si>
  <si>
    <t>2022 trim 4*</t>
  </si>
  <si>
    <t>Ampliación Segundo circuito Copey - Cuestecitas 500 kV</t>
  </si>
  <si>
    <t>2023 trim 2</t>
  </si>
  <si>
    <t>2023 trim 4</t>
  </si>
  <si>
    <t>UPME 03-2021 Subestación Carrieles 230 kV y LT asociadas</t>
  </si>
  <si>
    <t>2025 trim 1</t>
  </si>
  <si>
    <t>2022 trim 3</t>
  </si>
  <si>
    <t>2022 trim 4</t>
  </si>
  <si>
    <t>2023 trim 3</t>
  </si>
  <si>
    <t>2025 trim 4</t>
  </si>
  <si>
    <t>2024 trim 1</t>
  </si>
  <si>
    <t>*En gestión de ampliación de plazo</t>
  </si>
  <si>
    <t>Ruta del Loa</t>
  </si>
  <si>
    <t>PROYECTOS EN EJECUCIÓN TRANSPORTE DE ENERGÍA</t>
  </si>
  <si>
    <t>FILIAL</t>
  </si>
  <si>
    <t>PROYECTO</t>
  </si>
  <si>
    <t>ENTRADA OPERACIÓN</t>
  </si>
  <si>
    <t>Bonos Verdes</t>
  </si>
  <si>
    <t>Prueba</t>
  </si>
  <si>
    <t>BPC</t>
  </si>
  <si>
    <t>Scotibank</t>
  </si>
  <si>
    <t>IEPIN</t>
  </si>
  <si>
    <t>+</t>
  </si>
  <si>
    <t>Banco de Chile</t>
  </si>
  <si>
    <t>Banco Itau Corpbanca</t>
  </si>
  <si>
    <t>2T21</t>
  </si>
  <si>
    <t xml:space="preserve"> 2T21 </t>
  </si>
  <si>
    <t>2Q21</t>
  </si>
  <si>
    <t>Remuneration of concession assets</t>
  </si>
  <si>
    <t>Other Revenues</t>
  </si>
  <si>
    <t>Labor obligations</t>
  </si>
  <si>
    <t>Actuarial Surplus</t>
  </si>
  <si>
    <t>Accumulated Profits and Losses</t>
  </si>
  <si>
    <t>Derivative Instruments</t>
  </si>
  <si>
    <t>O&amp;M</t>
  </si>
  <si>
    <t>EBITDA ICVM nº 527/12</t>
  </si>
  <si>
    <t>643.2</t>
  </si>
  <si>
    <t>640.0</t>
  </si>
  <si>
    <t>Credits from Subsidiaries</t>
  </si>
  <si>
    <t>Employee benefits - actuarial surplus</t>
  </si>
  <si>
    <t>TOTAL NOT CURRENT ASSETS</t>
  </si>
  <si>
    <t>Taxes and Social Charges Payable</t>
  </si>
  <si>
    <t>Tax Installments</t>
  </si>
  <si>
    <t>Regulatory Charges Payable</t>
  </si>
  <si>
    <t>Income taxes and social contribution</t>
  </si>
  <si>
    <t>Amounts Payable - Fundação CESP</t>
  </si>
  <si>
    <t>Advance for future capital increases</t>
  </si>
  <si>
    <t>TOTAL NON CURRENT ASSETS</t>
  </si>
  <si>
    <t>TOTAL NO CURRENT ASSETS</t>
  </si>
  <si>
    <t>TOTAL ASSETS</t>
  </si>
  <si>
    <t>Bonds</t>
  </si>
  <si>
    <t>Taxes, Fees and Contributions</t>
  </si>
  <si>
    <t>Taxes installments - Law 11,941</t>
  </si>
  <si>
    <t>Regulatory Charges</t>
  </si>
  <si>
    <t>Especial Liabilities - Reversal/Amortization</t>
  </si>
  <si>
    <t>Monority Interest</t>
  </si>
  <si>
    <t>Accumulated profits and losses</t>
  </si>
  <si>
    <t>Additional Dividends Proposed</t>
  </si>
  <si>
    <t>TOTAL SHAREHOLDER'S EQUITY</t>
  </si>
  <si>
    <t xml:space="preserve">TOTAL LIABILITIES AND SHAREHOLDERS' EQUITY </t>
  </si>
  <si>
    <t>Energía</t>
  </si>
  <si>
    <t>Año finalización</t>
  </si>
  <si>
    <t>2031 contrato original
2052 vence la última concesión</t>
  </si>
  <si>
    <t>2020 contrato original
2021-2038 solo AOM</t>
  </si>
  <si>
    <t>39 concesiones, vencen entre 2032-2049</t>
  </si>
  <si>
    <t>Serra do Japi</t>
  </si>
  <si>
    <t>IE PINHEIROS</t>
  </si>
  <si>
    <t>IE SUL</t>
  </si>
  <si>
    <t>EVRECY</t>
  </si>
  <si>
    <t>IE TIBAGI</t>
  </si>
  <si>
    <t>IE MADEIRA</t>
  </si>
  <si>
    <t>IE GARANHUS</t>
  </si>
  <si>
    <t>Perú y Bolivia</t>
  </si>
  <si>
    <t>TAESA</t>
  </si>
  <si>
    <t>Proyectos en construcción</t>
  </si>
  <si>
    <t>Participación en compañías</t>
  </si>
  <si>
    <t>Estados Financieros trimestrales:</t>
  </si>
  <si>
    <t>C</t>
  </si>
  <si>
    <t>CC</t>
  </si>
  <si>
    <t>IS</t>
  </si>
  <si>
    <t>F</t>
  </si>
  <si>
    <t>IF</t>
  </si>
  <si>
    <t>% Directo ISA</t>
  </si>
  <si>
    <t>% Indirecto a través de Otras Filiales</t>
  </si>
  <si>
    <t>% Efectivo ISA</t>
  </si>
  <si>
    <t>SocIndirecta</t>
  </si>
  <si>
    <t>AM - INTERVIAL COLOMBIA S.A.S.</t>
  </si>
  <si>
    <t>ARAU - Ruta de la Araucanía Sociedad Concesionaria S.A.</t>
  </si>
  <si>
    <t>ASSIS - Fundo de Investimento Assis</t>
  </si>
  <si>
    <t>ATP - ATP TOWER HOLDINGS LLC</t>
  </si>
  <si>
    <t>BANDE - Fundo de Investimento Referenciado DI Bandeirantes</t>
  </si>
  <si>
    <t>BARRA - Fundo de Investimento Barra Bonita Renda Fixa Referenciado</t>
  </si>
  <si>
    <t>BOSQ - Ruta del Bosque Sociedad Concesionaria S.A.</t>
  </si>
  <si>
    <t>CAUT - Linear Systems RE Ltd.</t>
  </si>
  <si>
    <t>CRCC - Camara de Riesgo Central de Contraparte Colombia</t>
  </si>
  <si>
    <t>CTEP - CTEEP-Companhia de Transmissão de Energia Elétrica Paulista</t>
  </si>
  <si>
    <t>CTMP - Consorcio Transmantaro</t>
  </si>
  <si>
    <t>DEVX - Derivex S.A.</t>
  </si>
  <si>
    <t>EPR - Empresa Propietaria de la Red –EPR–</t>
  </si>
  <si>
    <t>ERB1 - Interligação Elétrica Ivaí S.A</t>
  </si>
  <si>
    <t>ICPC - Interconexión Eléctrica Colombia Panamá S.A.S E.S.P</t>
  </si>
  <si>
    <t>ICPP - Interconexión Eléctrica Colombia Panamá S.A</t>
  </si>
  <si>
    <t>IEAG - Interligação Elétrica Aguapeí S.A.</t>
  </si>
  <si>
    <t>IEAI - Interligação Elétrica Aimorés S.A.</t>
  </si>
  <si>
    <t>IEEV - Evrecy Participações LTDA</t>
  </si>
  <si>
    <t>IEGA - Interligação Elétrica Garanhuns S.A.</t>
  </si>
  <si>
    <t>IEIT - Interligação Elétrica Itaúnes S.A.</t>
  </si>
  <si>
    <t>IEJ1 - Interligação Elétrica Biguaçu S.A</t>
  </si>
  <si>
    <t>IEJ7 - Interligação Elétrica Riacho Grande</t>
  </si>
  <si>
    <t>IEJA - Interligação Elétrica Serra do Japi S.A.</t>
  </si>
  <si>
    <t>IEMA - Interligação Elétrica do Madeira S.A.</t>
  </si>
  <si>
    <t>IEMG - Interligação Elétrica de Minas Gerais S.A.</t>
  </si>
  <si>
    <t>IENNC - Interligação Elétrica Norte e Nordeste S.A.</t>
  </si>
  <si>
    <t>IEPG - Interligação Elétrica Paraguaçu S.A.</t>
  </si>
  <si>
    <t>IEPI - Interligação Elétrica Pinheiros S.A.</t>
  </si>
  <si>
    <t>IESUC - Interligação Elétrica Sul S.A.</t>
  </si>
  <si>
    <t>IETG - Interligação Elétrica Tibagi S.A.</t>
  </si>
  <si>
    <t>IETP - Interligação Elétrica Itapura S.A.</t>
  </si>
  <si>
    <t>IETQ - Interligação Elétrica Itaquerê S.A.</t>
  </si>
  <si>
    <t>INCH - ISA Inversiones Chile Ltda.</t>
  </si>
  <si>
    <t>INCO - ISA Inversiones Costera Chile SPA</t>
  </si>
  <si>
    <t>INTE - Intervial Chile S.A.</t>
  </si>
  <si>
    <t>INVI - Interconexiones Viales SpA</t>
  </si>
  <si>
    <t>ISAB - ISA Bolivia</t>
  </si>
  <si>
    <t>ISAI - ISA Investimentos e Participações LTDA</t>
  </si>
  <si>
    <t>ISAK - ISA Capital do Brasil</t>
  </si>
  <si>
    <t>ISAP - ISA Perú</t>
  </si>
  <si>
    <t>ITCH - Interchile</t>
  </si>
  <si>
    <t>ITCO - ISA INTERCOLOMBIA S.A. E.S.P</t>
  </si>
  <si>
    <t>MAIP - Ruta del Maipo Sociedad Concesionaria S.A.</t>
  </si>
  <si>
    <t>MAUL - Ruta del Maule Sociedad Concesionaria S.A.</t>
  </si>
  <si>
    <t>PDI - Proyectos de Infraestructura del Perú</t>
  </si>
  <si>
    <t>PRIO - PARQUES DEL RÍO S.A.S.</t>
  </si>
  <si>
    <t>REDCA - Red Centroamericada de Telecomunicaciones</t>
  </si>
  <si>
    <t>REPD - Red de Energía del Perú</t>
  </si>
  <si>
    <t>RIOS - Ruta de los Ríos Sociedad Concesionaria S.A.</t>
  </si>
  <si>
    <t>RLOA - Ruta del LOA Sociedad Concesionaria S.A.</t>
  </si>
  <si>
    <t>SIR - Sistemas Inteligentes de Red S.A.S</t>
  </si>
  <si>
    <t>TAES - Transmissora Aliança de Energia Elétrica S.A.</t>
  </si>
  <si>
    <t>TELB - Internexa Brasil Operadora de Telecomunicações</t>
  </si>
  <si>
    <t>TELCH - Internexa Chile</t>
  </si>
  <si>
    <t>TELE - INTERNEXA S.A.</t>
  </si>
  <si>
    <t>TELH - Internexa Participações</t>
  </si>
  <si>
    <t>TELP - Internexa Perú</t>
  </si>
  <si>
    <t>TNEX - Transnexa S.A.</t>
  </si>
  <si>
    <t>TOLT - ISA Inversiones Tolten Ltda.</t>
  </si>
  <si>
    <t>TRAN - Transelca S.A. E. S. P.</t>
  </si>
  <si>
    <t>XAVAN - Fundo de Investimento Xavantes Referenciado DI</t>
  </si>
  <si>
    <t>XM - XM Compañía de Expertos en Mercados S.A. E.S.P</t>
  </si>
  <si>
    <t>Tráfico Vías</t>
  </si>
  <si>
    <t>Troncales</t>
  </si>
  <si>
    <t>Laterales</t>
  </si>
  <si>
    <t>RUTA DEL MAIPO</t>
  </si>
  <si>
    <t>RUTA DEL BOSQUE</t>
  </si>
  <si>
    <t>RUTA DE LA ARAUCANÍA</t>
  </si>
  <si>
    <t>RUTA DE LOS RÍOS</t>
  </si>
  <si>
    <t>TMDE* RUTAS INTERVIAL</t>
  </si>
  <si>
    <t>*TMDE: Tráfico medio diario equivalente</t>
  </si>
  <si>
    <t>MARAHUACO</t>
  </si>
  <si>
    <t>PUERTO COLOMBIA</t>
  </si>
  <si>
    <t>PAPIRO</t>
  </si>
  <si>
    <t>JUAN MINA + GALAPA</t>
  </si>
  <si>
    <t>TPD** RUTA COSTERA</t>
  </si>
  <si>
    <t>**TPD: Tráfico Promedio Diario</t>
  </si>
  <si>
    <t>3T21</t>
  </si>
  <si>
    <t>2023 trim 1*</t>
  </si>
  <si>
    <t>MAIPO</t>
  </si>
  <si>
    <t>ARAUCANÍA</t>
  </si>
  <si>
    <t>BOSQUE</t>
  </si>
  <si>
    <t>RIOS</t>
  </si>
  <si>
    <t>LOA</t>
  </si>
  <si>
    <t>3Q21</t>
  </si>
  <si>
    <t>ITXAR - Transamerican Telecomunication S.A.</t>
  </si>
  <si>
    <t>Control Compartido</t>
  </si>
  <si>
    <t>Fondos</t>
  </si>
  <si>
    <t xml:space="preserve">Nota Promissória </t>
  </si>
  <si>
    <t>Bono 144a Regs</t>
  </si>
  <si>
    <t>BCP</t>
  </si>
  <si>
    <t>Banco BOCOM</t>
  </si>
  <si>
    <t>Concesión original 2033</t>
  </si>
  <si>
    <t>Payout ISA: Alrededor 40%-50% de la utilidad neta</t>
  </si>
  <si>
    <t>Conexión Parque Guayepo Solar a la subestación Sabanalarga 500 kV</t>
  </si>
  <si>
    <t>Conexión de parques eólicos Alpha y Beta la subestación Nueva Cuestecitas 500 kV</t>
  </si>
  <si>
    <t>Ampliación subestación Ternera 13.8 kV</t>
  </si>
  <si>
    <t>Ampliación FACTS circuitos Santa Marta - Termocol - Termoguajira 220 kV</t>
  </si>
  <si>
    <t>Ampliación subestación Copey</t>
  </si>
  <si>
    <t>Conexión Puerto Chancay</t>
  </si>
  <si>
    <t>Maipo: Tramo III</t>
  </si>
  <si>
    <t xml:space="preserve">Maipo: Obras Par Vial </t>
  </si>
  <si>
    <t>Maipo: Obras Seguridad Normativa</t>
  </si>
  <si>
    <t>Araucanía: Obras de Seguridad Normativa</t>
  </si>
  <si>
    <t>Bosque: Obras de Seguridad Normativa</t>
  </si>
  <si>
    <t>Rios: Obras de Seguridad Normativa</t>
  </si>
  <si>
    <t>TMDE 2015- 2021 con base 365 días, excepto 2016 y 2020 los cuales están con base 366 días</t>
  </si>
  <si>
    <t>2022 E</t>
  </si>
  <si>
    <t>ISA y sus empresas</t>
  </si>
  <si>
    <t>4Q21</t>
  </si>
  <si>
    <t>TOTAL</t>
  </si>
  <si>
    <t>Bank of Nova Scotia</t>
  </si>
  <si>
    <t>Bonos 144A Reg/S</t>
  </si>
  <si>
    <t>Debentures 11ª Emissão (Serie 1)</t>
  </si>
  <si>
    <t>Debentures 11ª Emissão (Serie 2)</t>
  </si>
  <si>
    <t>4T21</t>
  </si>
  <si>
    <t>Inventario</t>
  </si>
  <si>
    <t>ISA Matriz</t>
  </si>
  <si>
    <t>IE BIGACÚ</t>
  </si>
  <si>
    <t>IE ITAÚNAS</t>
  </si>
  <si>
    <t>IE ITAPURA</t>
  </si>
  <si>
    <t>IE AUGAPEI</t>
  </si>
  <si>
    <t>IE RIACHO GRANDE</t>
  </si>
  <si>
    <t>IE ITAQUERÉ</t>
  </si>
  <si>
    <t>PIRATININGA- PBTE</t>
  </si>
  <si>
    <t>IE PARAGUACU</t>
  </si>
  <si>
    <t>IE AIMORÉS</t>
  </si>
  <si>
    <t>IE IVAÍ</t>
  </si>
  <si>
    <t>2022 (1Q)</t>
  </si>
  <si>
    <t>2022 - 1Q</t>
  </si>
  <si>
    <t>EBITDA TOTAL</t>
  </si>
  <si>
    <r>
      <rPr>
        <sz val="9"/>
        <color theme="0" tint="-0.499984740745262"/>
        <rFont val="Tahoma"/>
        <family val="2"/>
      </rPr>
      <t>Esta información ha sido preparada por ISA y sus empresas con información propia y de las compañías en las cuales tiene participación mayoritaria, la cual no es definitiva ni ha sido</t>
    </r>
    <r>
      <rPr>
        <sz val="11"/>
        <color theme="0" tint="-0.499984740745262"/>
        <rFont val="Tahoma"/>
        <family val="2"/>
      </rPr>
      <t xml:space="preserve"> </t>
    </r>
  </si>
  <si>
    <t>presentada puede diferir de las cifras publicadas por entidades oficiales.  ISA y sus empresas no asume obligación alguna de actualizar o corregir la información contenida en este documento.</t>
  </si>
  <si>
    <t xml:space="preserve">ISA y sus empresas no otorgan ninguna garantía expresa o implícita y no es responsable respecto a la exhaustividad de la información (ni por omisión ni por elementos de dicha información </t>
  </si>
  <si>
    <t>que fuesen susceptibles de conducir a error). ISA y sus empresas no serán responsables de ninguna consecuencia resultante del uso de este documento.</t>
  </si>
  <si>
    <t>1T22</t>
  </si>
  <si>
    <t>Utilidad Bruta de construcción</t>
  </si>
  <si>
    <t>Utilidad Bruta de Operación</t>
  </si>
  <si>
    <t>1T22*</t>
  </si>
  <si>
    <t>*Cambio en el cálculo del EBITDA por nueva metodología</t>
  </si>
  <si>
    <t>Utilidad Bruta</t>
  </si>
  <si>
    <t>BNDES V</t>
  </si>
  <si>
    <t>ITAU Brasil</t>
  </si>
  <si>
    <t>2023 trim 3*</t>
  </si>
  <si>
    <t>Conexión planta solar Nabusimake en subestación Fundación</t>
  </si>
  <si>
    <t>COYA Enlace Colcabamba - Campas - Carapongo 500 kV</t>
  </si>
  <si>
    <t>Refuerzo 2 - Ampliación subestación Planicie</t>
  </si>
  <si>
    <t>YANA Enlace Campas - Yaros y subestaciones Asociadas 500 kV</t>
  </si>
  <si>
    <t>Subestación Chincha Nueva</t>
  </si>
  <si>
    <t>Subestación Nazca Nueva</t>
  </si>
  <si>
    <t>Refuerzo 1 - cambio de tensión Chilca - Planicie - Carabayllo</t>
  </si>
  <si>
    <t>Refuerzos Brasil:</t>
  </si>
  <si>
    <t>Maipo: Enlace Pirque</t>
  </si>
  <si>
    <t>Maipo: Pasarela Tenencia Paine y Agrícola, Acceso El Recurso + Calle Local Curicó</t>
  </si>
  <si>
    <t>PROYECTOS Y OBRAS EN EJECUCIÓN VÍAS</t>
  </si>
  <si>
    <t>Utilidad de construcción</t>
  </si>
  <si>
    <t>Utilidad de Operación</t>
  </si>
  <si>
    <t>1Q22</t>
  </si>
  <si>
    <t>Advance to suppliers</t>
  </si>
  <si>
    <t xml:space="preserve">Provision for Contingencies </t>
  </si>
  <si>
    <t>INTERNEXA</t>
  </si>
  <si>
    <t>INTERNEXA PERÚ</t>
  </si>
  <si>
    <t>Filiales CTEEP</t>
  </si>
  <si>
    <t>Internexa Brasil</t>
  </si>
  <si>
    <t xml:space="preserve">ISA Bolivia </t>
  </si>
  <si>
    <t>Internexa Argentina</t>
  </si>
  <si>
    <t xml:space="preserve">Intervial </t>
  </si>
  <si>
    <t>Internexa Chile</t>
  </si>
  <si>
    <t>https://informeanual.xm.com.co/informe/pages/xm/a-informe-financiero-y-notas.html</t>
  </si>
  <si>
    <t>ESTADOS SEPARADOS DE SITUACIÓN FINANCIERA-XM</t>
  </si>
  <si>
    <t>Orazul</t>
  </si>
  <si>
    <t>Vida infinita</t>
  </si>
  <si>
    <t>https://www.isacteep.com.br/ri/informacoes-financeiras/central-de-resultados</t>
  </si>
  <si>
    <t>RI Taesa – Transmissora Aliança de Energia Elétrica S.A – Site Relações com Investidores</t>
  </si>
  <si>
    <t>ESTADOS FINANCIEROS NO CONTROLADAS CTEEP (Resultados em Excel - Hoja "DRE Coligadas")</t>
  </si>
  <si>
    <t>ESTADOS FINANCIEROS TAESA</t>
  </si>
  <si>
    <t>Perfil de deuda</t>
  </si>
  <si>
    <t>Tipo de 
Control</t>
  </si>
  <si>
    <t>Negocio</t>
  </si>
  <si>
    <t>SociedadGL</t>
  </si>
  <si>
    <t>VIAS</t>
  </si>
  <si>
    <t>COL</t>
  </si>
  <si>
    <t>CHI</t>
  </si>
  <si>
    <t>PATRIMONIO AUTONOMO</t>
  </si>
  <si>
    <t>BRA</t>
  </si>
  <si>
    <t>TELECOMUNICACIONES</t>
  </si>
  <si>
    <t>USA</t>
  </si>
  <si>
    <t>I_CTEP - CTEEP-Companhia de Transmissão de Energia Elétrica Paulista</t>
  </si>
  <si>
    <t>I_IEEV - Evrecy Participações LTDA</t>
  </si>
  <si>
    <t>I_IEJA - Interligação Elétrica Serra do Japi S.A.</t>
  </si>
  <si>
    <t>I_IEMG - Interligação Elétrica de Minas Gerais S.A.</t>
  </si>
  <si>
    <t>I_IENNC - Interligação Elétrica Norte e Nordeste S.A.</t>
  </si>
  <si>
    <t>I_IEPI - Interligação Elétrica Pinheiros S.A.</t>
  </si>
  <si>
    <t>I_IESUC - Interligação Elétrica Sul S.A.</t>
  </si>
  <si>
    <t>I_IETQ - Interligação Elétrica Itaquerê S.A.</t>
  </si>
  <si>
    <t>CABA - Concesión Costera-Cartagena-Barranquilla S.A.S</t>
  </si>
  <si>
    <t>OTROS NEGOCIOS</t>
  </si>
  <si>
    <t>BERMUDAS</t>
  </si>
  <si>
    <t>ENERGÍA</t>
  </si>
  <si>
    <t>OTRO</t>
  </si>
  <si>
    <t>PANAMA</t>
  </si>
  <si>
    <t>VEHICULO</t>
  </si>
  <si>
    <t>ISA BOLIVIA</t>
  </si>
  <si>
    <t>ARGENTINA</t>
  </si>
  <si>
    <t>ECUADOR</t>
  </si>
  <si>
    <t>I_IEAG - Interligação Elétrica Aguapeí S.A.</t>
  </si>
  <si>
    <t>I_IEIT - Interligação Elétrica Itaúnes S.A.</t>
  </si>
  <si>
    <t>I_IEJ1 - Interligação Elétrica Biguaçu S.A</t>
  </si>
  <si>
    <t>I_IEJ7 - Interligação Elétrica Riacho Grande</t>
  </si>
  <si>
    <t>I_IETG - Interligação Elétrica Tibagi S.A.</t>
  </si>
  <si>
    <t>I_IETP - Interligação Elétrica Itapura S.A.</t>
  </si>
  <si>
    <t>#</t>
  </si>
  <si>
    <t>Control</t>
  </si>
  <si>
    <t>Influencia Significativa</t>
  </si>
  <si>
    <t>Instrumento Financiero</t>
  </si>
  <si>
    <t>Total empresas del Grupo</t>
  </si>
  <si>
    <t>2T22</t>
  </si>
  <si>
    <t>Conexión Energía (CL)</t>
  </si>
  <si>
    <t>Kimal-Lo Aguirre**</t>
  </si>
  <si>
    <t>2029 trim 2</t>
  </si>
  <si>
    <t>2023 trim 4*</t>
  </si>
  <si>
    <t>Ampliación Smart Valves Nueva Barranquilla y Sabanalarga</t>
  </si>
  <si>
    <t>2024 trim 2</t>
  </si>
  <si>
    <t>202 trim 4</t>
  </si>
  <si>
    <t>** información asociada a la participación de ISA en el Consorcio</t>
  </si>
  <si>
    <t>Proyectos energizados 2022 Trimestre 2</t>
  </si>
  <si>
    <t>En este segundo trimestre se han energizado 8 refuerzos, que han representado una inversión aproximada de USD 2,5 millones y que incrementarán los ingresos anuales en aproximadamente USD 0,3 millones</t>
  </si>
  <si>
    <t>En ejecución 249 refuerzos en Brasil que representan una inversión aproximada de USD 764 Millones y que incrementarán los ingresos anuales en aproximadamente USD 110 millones</t>
  </si>
  <si>
    <t>2022 - 2025</t>
  </si>
  <si>
    <t>Ruta del Loa: Obras adicionales</t>
  </si>
  <si>
    <t>Maipo: Free Flow Quinta</t>
  </si>
  <si>
    <t>Ruta Costera</t>
  </si>
  <si>
    <t>Inversiones dentro balance</t>
  </si>
  <si>
    <t>Negocios que no consolidan</t>
  </si>
  <si>
    <t>Maipo</t>
  </si>
  <si>
    <t>Maule</t>
  </si>
  <si>
    <t>Bosque</t>
  </si>
  <si>
    <t>Araucanía</t>
  </si>
  <si>
    <t>Ríos</t>
  </si>
  <si>
    <t>Loa</t>
  </si>
  <si>
    <t>Kima Lo Aguirre</t>
  </si>
  <si>
    <t>TOTAL 2022-2026</t>
  </si>
  <si>
    <t>Tipo</t>
  </si>
  <si>
    <t>Jun-2022
(moneda del crédito)</t>
  </si>
  <si>
    <t>Jun-2022
(millones de COP)</t>
  </si>
  <si>
    <t>Jun-2022
(miles USD)</t>
  </si>
  <si>
    <t>Bonos</t>
  </si>
  <si>
    <t>Swap B</t>
  </si>
  <si>
    <t>Debentures 12ª Emissão</t>
  </si>
  <si>
    <t xml:space="preserve">Transelca </t>
  </si>
  <si>
    <t>ISA PERÚ</t>
  </si>
  <si>
    <t>Banco BCP</t>
  </si>
  <si>
    <t>SOFR(3M)</t>
  </si>
  <si>
    <t>ITX Brasil</t>
  </si>
  <si>
    <t>Banco Sofisa</t>
  </si>
  <si>
    <t>N/A</t>
  </si>
  <si>
    <t>ESTADOS DE RESULTADOS SEPARADOS - TRANSELCA</t>
  </si>
  <si>
    <t>ESTADOS SEPARADOS DE SITUACIÓN FINANCIERA-TRANSELCA</t>
  </si>
  <si>
    <t>2022 (2Q)</t>
  </si>
  <si>
    <t>2022 - 2Q</t>
  </si>
  <si>
    <t>Vías</t>
  </si>
  <si>
    <t>Ruta de los Rios</t>
  </si>
  <si>
    <t>Costera</t>
  </si>
  <si>
    <t xml:space="preserve">Vencimiento Concesiones </t>
  </si>
  <si>
    <t>2Q22</t>
  </si>
  <si>
    <t>Lote 3</t>
  </si>
  <si>
    <t>Lote 6</t>
  </si>
  <si>
    <t>Febrero 2023</t>
  </si>
  <si>
    <t>Junio 2033</t>
  </si>
  <si>
    <t>Febrero 2026</t>
  </si>
  <si>
    <t>Junio 2025</t>
  </si>
  <si>
    <t>Marzo 2058</t>
  </si>
  <si>
    <t>Sept 2043</t>
  </si>
  <si>
    <r>
      <t>USD</t>
    </r>
    <r>
      <rPr>
        <sz val="10"/>
        <color theme="3"/>
        <rFont val="Tahoma"/>
        <family val="2"/>
      </rPr>
      <t xml:space="preserve"> (millones)</t>
    </r>
  </si>
  <si>
    <r>
      <t xml:space="preserve">COP </t>
    </r>
    <r>
      <rPr>
        <sz val="10"/>
        <color theme="3"/>
        <rFont val="Tahoma"/>
        <family val="2"/>
      </rPr>
      <t xml:space="preserve">(miles de millones) </t>
    </r>
  </si>
  <si>
    <r>
      <t>USD</t>
    </r>
    <r>
      <rPr>
        <b/>
        <sz val="10"/>
        <color theme="3"/>
        <rFont val="Tahoma"/>
        <family val="2"/>
      </rPr>
      <t xml:space="preserve"> (millones)</t>
    </r>
  </si>
  <si>
    <r>
      <t xml:space="preserve">COP </t>
    </r>
    <r>
      <rPr>
        <b/>
        <sz val="10"/>
        <color theme="3"/>
        <rFont val="Tahoma"/>
        <family val="2"/>
      </rPr>
      <t xml:space="preserve">(miles de millones)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</si>
</sst>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8" formatCode="&quot;$&quot;\ #,##0.00;[Red]\-&quot;$&quot;\ #,##0.00"/>
    <numFmt numFmtId="42" formatCode="_-&quot;$&quot;\ * #,##0_-;\-&quot;$&quot;\ * #,##0_-;_-&quot;$&quot;\ * &quot;-&quot;_-;_-@_-"/>
    <numFmt numFmtId="41" formatCode="_-* #,##0_-;\-* #,##0_-;_-* &quot;-&quot;_-;_-@_-"/>
    <numFmt numFmtId="43" formatCode="_-* #,##0.00_-;\-* #,##0.00_-;_-* &quot;-&quot;??_-;_-@_-"/>
    <numFmt numFmtId="164" formatCode="_-* #,##0.00\ _€_-;\-* #,##0.00\ _€_-;_-* &quot;-&quot;??\ _€_-;_-@_-"/>
    <numFmt numFmtId="165" formatCode="_-[$€-2]\ * #,##0_-;\-[$€-2]\ * #,##0_-;_-[$€-2]\ * &quot;-&quot;??_-"/>
    <numFmt numFmtId="166" formatCode="&quot; &quot;#,##0.00&quot; &quot;;&quot; (&quot;#,##0.00&quot;)&quot;;&quot; -&quot;00&quot; &quot;;&quot; &quot;@&quot; &quot;"/>
    <numFmt numFmtId="167" formatCode="[$-F800]dddd\,\ mmmm\ dd\,\ yyyy"/>
    <numFmt numFmtId="168" formatCode="_(* #,##0.00_);_(* \(#,##0.00\);_(* &quot;-&quot;??_);_(@_)"/>
    <numFmt numFmtId="169" formatCode="_(* #,##0_);_(* \(#,##0\);_(* &quot;-&quot;??_);_(@_)"/>
    <numFmt numFmtId="170" formatCode="_-* #,##0_-;\-* #,##0_-;_-* &quot;-&quot;??_-;_-@_-"/>
    <numFmt numFmtId="171" formatCode="_ * #,##0_ ;_ * \-#,##0_ ;_ * &quot;-&quot;??_ ;_ @_ "/>
    <numFmt numFmtId="172" formatCode="_ * #,##0.00_ ;_ * \-#,##0.00_ ;_ * &quot;-&quot;??_ ;_ @_ "/>
    <numFmt numFmtId="173" formatCode="[$$-240A]\ #,##0"/>
    <numFmt numFmtId="174" formatCode="0.000%"/>
    <numFmt numFmtId="175" formatCode="0.0"/>
    <numFmt numFmtId="176" formatCode="0.0%"/>
    <numFmt numFmtId="177" formatCode="&quot;$&quot;#,##0;\-&quot;$&quot;#,##0"/>
    <numFmt numFmtId="178" formatCode="&quot;$&quot;#,##0;[Red]\-&quot;$&quot;#,##0"/>
    <numFmt numFmtId="179" formatCode="_-&quot;$&quot;* #,##0.00_-;\-&quot;$&quot;* #,##0.00_-;_-&quot;$&quot;* &quot;-&quot;??_-;_-@_-"/>
    <numFmt numFmtId="180" formatCode="###,000"/>
    <numFmt numFmtId="181" formatCode="#,##0.0"/>
    <numFmt numFmtId="182" formatCode="%#.00"/>
    <numFmt numFmtId="183" formatCode="_(&quot;$&quot;\ * #,##0.00_);_(&quot;$&quot;\ * \(#,##0.00\);_(&quot;$&quot;\ * &quot;-&quot;??_);_(@_)"/>
    <numFmt numFmtId="184" formatCode="_(* &quot;$&quot;#,##0_);_(* \(&quot;$&quot;#,##0\);_(* &quot;-&quot;??_);_(@_)"/>
    <numFmt numFmtId="185" formatCode="_(* &quot;$&quot;#,##0.00_);_(* \(&quot;$&quot;#,##0.00\);_(* &quot;-&quot;??_);_(@_)"/>
    <numFmt numFmtId="186" formatCode="* 0%;* \-0%;* 0%"/>
    <numFmt numFmtId="187" formatCode="* 0.0%;* \-0.0%;* 0.0%"/>
    <numFmt numFmtId="188" formatCode="General_)"/>
    <numFmt numFmtId="189" formatCode="m\-d\-yy"/>
    <numFmt numFmtId="190" formatCode="_(* #,##0.0\ &quot;bp&quot;;_(* \(#,##0.0\ &quot;bp&quot;\);_(* &quot;-&quot;_);_(@_)"/>
    <numFmt numFmtId="191" formatCode="#,##0.0_);\(#,##0.0\)"/>
    <numFmt numFmtId="192" formatCode="&quot;$&quot;#.00"/>
    <numFmt numFmtId="193" formatCode="&quot;S/&quot;#,##0;&quot;S/&quot;\-#,##0"/>
    <numFmt numFmtId="194" formatCode="#,##0.000000;\-#,##0.000000"/>
    <numFmt numFmtId="195" formatCode="_ [$€-2]\ * #,##0.00_ ;_ [$€-2]\ * \-#,##0.00_ ;_ [$€-2]\ * &quot;-&quot;??_ "/>
    <numFmt numFmtId="196" formatCode="_([$€-2]* #,##0.00_);_([$€-2]* \(#,##0.00\);_([$€-2]* &quot;-&quot;??_)"/>
    <numFmt numFmtId="197" formatCode="_(* #,##0.0%_);_(* \(#,##0.0%\);_(* &quot; - &quot;\%_);_(@_)"/>
    <numFmt numFmtId="198" formatCode="_(* #,##0.0_);_(* \(#,##0.0\);_(* &quot; - &quot;_);_(@_)"/>
    <numFmt numFmtId="199" formatCode="#,##0."/>
    <numFmt numFmtId="200" formatCode="#."/>
    <numFmt numFmtId="201" formatCode=";;;"/>
    <numFmt numFmtId="202" formatCode="_ * #,##0_ ;_ * \-#,##0_ ;_ * &quot;-&quot;_ ;_ @_ "/>
    <numFmt numFmtId="203" formatCode="_-* #,##0.00\ _p_t_a_-;\-* #,##0.00\ _p_t_a_-;_-* &quot;-&quot;??\ _p_t_a_-;_-@_-"/>
    <numFmt numFmtId="204" formatCode="_(&quot;R$&quot;* #,##0_);_(&quot;R$&quot;* \(#,##0\);_(&quot;R$&quot;* \-_);_(@_)"/>
    <numFmt numFmtId="205" formatCode="0.00_)"/>
    <numFmt numFmtId="206" formatCode="@\ *."/>
    <numFmt numFmtId="207" formatCode="0.0000%"/>
    <numFmt numFmtId="208" formatCode="m/d/yy\ h:mm:ss"/>
    <numFmt numFmtId="209" formatCode="_(* #,##0_);_(* \(#,##0\);_(* \-_);_(@_)"/>
    <numFmt numFmtId="210" formatCode="0.0&quot;x&quot;"/>
    <numFmt numFmtId="211" formatCode="#.00"/>
    <numFmt numFmtId="212" formatCode="_(&quot;Cr$&quot;* #,##0.00_);_(&quot;Cr$&quot;* \(#,##0.00\);_(&quot;Cr$&quot;* &quot;-&quot;??_);_(@_)"/>
    <numFmt numFmtId="213" formatCode="\$#.00"/>
    <numFmt numFmtId="214" formatCode="\$#,##0\ ;\(\$#,##0\)"/>
    <numFmt numFmtId="215" formatCode="#,##0.0000;\-#,##0.0000"/>
    <numFmt numFmtId="216" formatCode="#,##0.000000_);[Red]\(#,##0.000000\)"/>
    <numFmt numFmtId="217" formatCode="#,##0.000"/>
    <numFmt numFmtId="218" formatCode="_ &quot;$&quot;\ * #,##0.00_ ;_ &quot;$&quot;\ * \-#,##0.00_ ;_ &quot;$&quot;\ * &quot;-&quot;??_ ;_ @_ "/>
    <numFmt numFmtId="219" formatCode="#,##0;\(#,##0\)"/>
    <numFmt numFmtId="220" formatCode="0.000000%"/>
  </numFmts>
  <fonts count="220">
    <font>
      <sz val="11"/>
      <color theme="1"/>
      <name val="Calibri"/>
      <family val="2"/>
      <scheme val="minor"/>
    </font>
    <font>
      <sz val="11"/>
      <color theme="1"/>
      <name val="Calibri"/>
      <family val="2"/>
      <scheme val="minor"/>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ont>
    <font>
      <sz val="11"/>
      <color rgb="FF262626"/>
      <name val="Calibri"/>
      <family val="2"/>
    </font>
    <font>
      <u/>
      <sz val="11"/>
      <color theme="10"/>
      <name val="Tahoma"/>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1"/>
      <color theme="0"/>
      <name val="Tahoma"/>
      <family val="2"/>
    </font>
    <font>
      <sz val="12"/>
      <color theme="1"/>
      <name val="Tahoma"/>
      <family val="2"/>
    </font>
    <font>
      <b/>
      <sz val="10"/>
      <name val="Arial"/>
      <family val="2"/>
    </font>
    <font>
      <b/>
      <sz val="10"/>
      <color theme="0"/>
      <name val="Tahoma"/>
      <family val="2"/>
    </font>
    <font>
      <sz val="11"/>
      <color theme="3"/>
      <name val="Tahoma"/>
      <family val="2"/>
    </font>
    <font>
      <b/>
      <sz val="11"/>
      <color theme="3"/>
      <name val="Tahoma"/>
      <family val="2"/>
    </font>
    <font>
      <sz val="11"/>
      <color rgb="FFFF0000"/>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ont>
    <font>
      <b/>
      <sz val="9"/>
      <name val="Times New Roman"/>
      <family val="1"/>
    </font>
    <font>
      <sz val="7"/>
      <name val="Helv"/>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77111117893"/>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sz val="20"/>
      <color theme="1"/>
      <name val="Calibri"/>
      <family val="2"/>
      <scheme val="minor"/>
    </font>
    <font>
      <b/>
      <sz val="10"/>
      <name val="Tahoma"/>
      <family val="2"/>
    </font>
    <font>
      <sz val="10"/>
      <color rgb="FF616365"/>
      <name val="Tahoma"/>
      <family val="2"/>
    </font>
    <font>
      <b/>
      <sz val="12"/>
      <color theme="1"/>
      <name val="Tahoma"/>
      <family val="2"/>
    </font>
    <font>
      <sz val="10"/>
      <color theme="3"/>
      <name val="Tahoma"/>
      <family val="2"/>
    </font>
    <font>
      <sz val="10"/>
      <color theme="2" tint="-0.749992370372631"/>
      <name val="Tahoma"/>
      <family val="2"/>
    </font>
    <font>
      <i/>
      <sz val="11"/>
      <color theme="3"/>
      <name val="Tahoma"/>
      <family val="2"/>
    </font>
    <font>
      <u/>
      <sz val="11"/>
      <color theme="1"/>
      <name val="Calibri"/>
      <family val="2"/>
      <scheme val="minor"/>
    </font>
    <font>
      <u/>
      <sz val="11"/>
      <color theme="1"/>
      <name val="Tahoma"/>
      <family val="2"/>
    </font>
    <font>
      <sz val="11"/>
      <color theme="0" tint="-0.499984740745262"/>
      <name val="Tahoma"/>
      <family val="2"/>
    </font>
    <font>
      <b/>
      <sz val="11"/>
      <color theme="1"/>
      <name val="Tahoma"/>
      <family val="2"/>
    </font>
    <font>
      <sz val="20"/>
      <color theme="1"/>
      <name val="Tahoma"/>
      <family val="2"/>
    </font>
    <font>
      <sz val="12"/>
      <color theme="1"/>
      <name val="Calibri"/>
      <family val="2"/>
      <scheme val="minor"/>
    </font>
    <font>
      <sz val="12"/>
      <color theme="0"/>
      <name val="Tahoma"/>
      <family val="2"/>
    </font>
    <font>
      <b/>
      <sz val="12"/>
      <color theme="0"/>
      <name val="Tahoma"/>
      <family val="2"/>
    </font>
    <font>
      <sz val="12"/>
      <color rgb="FF808080"/>
      <name val="Tahoma"/>
      <family val="2"/>
    </font>
    <font>
      <b/>
      <sz val="12"/>
      <color rgb="FF808080"/>
      <name val="Tahoma"/>
      <family val="2"/>
    </font>
    <font>
      <b/>
      <sz val="12"/>
      <color rgb="FF0099FF"/>
      <name val="Tahoma"/>
      <family val="2"/>
    </font>
    <font>
      <sz val="12"/>
      <name val="Tahoma"/>
      <family val="2"/>
    </font>
    <font>
      <sz val="12"/>
      <color rgb="FF595959"/>
      <name val="Tahoma"/>
      <family val="2"/>
    </font>
    <font>
      <b/>
      <sz val="12"/>
      <color rgb="FFFFFFFF"/>
      <name val="Tahoma"/>
      <family val="2"/>
    </font>
    <font>
      <b/>
      <sz val="12"/>
      <color rgb="FF4D4D4D"/>
      <name val="Tahoma"/>
      <family val="2"/>
    </font>
    <font>
      <sz val="12"/>
      <color rgb="FFFFFFFF"/>
      <name val="Tahoma"/>
      <family val="2"/>
    </font>
    <font>
      <b/>
      <sz val="12"/>
      <color theme="0" tint="-0.499984740745262"/>
      <name val="Tahoma"/>
      <family val="2"/>
    </font>
    <font>
      <sz val="12"/>
      <color theme="0" tint="-0.499984740745262"/>
      <name val="Tahoma"/>
      <family val="2"/>
    </font>
    <font>
      <i/>
      <sz val="12"/>
      <color rgb="FF808080"/>
      <name val="Tahoma"/>
      <family val="2"/>
    </font>
    <font>
      <u/>
      <sz val="12"/>
      <color theme="10"/>
      <name val="Tahoma"/>
      <family val="2"/>
    </font>
    <font>
      <sz val="16"/>
      <color theme="0"/>
      <name val="Tahoma"/>
      <family val="2"/>
    </font>
    <font>
      <sz val="14"/>
      <color theme="0"/>
      <name val="Tahoma"/>
      <family val="2"/>
    </font>
    <font>
      <b/>
      <sz val="12"/>
      <name val="Arial"/>
      <family val="2"/>
    </font>
    <font>
      <sz val="12"/>
      <name val="Calibri"/>
      <family val="2"/>
      <scheme val="minor"/>
    </font>
    <font>
      <u/>
      <sz val="10"/>
      <name val="Tahoma"/>
      <family val="2"/>
    </font>
    <font>
      <sz val="9"/>
      <color theme="0" tint="-0.499984740745262"/>
      <name val="Tahoma"/>
      <family val="2"/>
    </font>
    <font>
      <sz val="9"/>
      <color theme="1"/>
      <name val="Calibri"/>
      <family val="2"/>
      <scheme val="minor"/>
    </font>
    <font>
      <b/>
      <u/>
      <sz val="12"/>
      <color rgb="FF4D4D4D"/>
      <name val="Tahoma"/>
      <family val="2"/>
    </font>
    <font>
      <b/>
      <sz val="10"/>
      <color rgb="FF616365"/>
      <name val="Tahoma"/>
      <family val="2"/>
    </font>
    <font>
      <sz val="10"/>
      <color theme="0"/>
      <name val="Tahoma"/>
      <family val="2"/>
    </font>
    <font>
      <sz val="8"/>
      <color theme="1" tint="0.249977111117893"/>
      <name val="Tahoma"/>
      <family val="2"/>
    </font>
    <font>
      <sz val="11"/>
      <color theme="1" tint="0.34998626667073579"/>
      <name val="Calibri"/>
      <family val="2"/>
      <scheme val="minor"/>
    </font>
    <font>
      <b/>
      <sz val="12"/>
      <color theme="0"/>
      <name val="Tahoma"/>
      <family val="2"/>
    </font>
    <font>
      <b/>
      <sz val="12"/>
      <name val="Tahoma"/>
      <family val="2"/>
    </font>
    <font>
      <sz val="12"/>
      <color rgb="FF808080"/>
      <name val="Tahoma"/>
      <family val="2"/>
    </font>
    <font>
      <b/>
      <sz val="12"/>
      <color rgb="FF808080"/>
      <name val="Tahoma"/>
      <family val="2"/>
    </font>
    <font>
      <sz val="12"/>
      <color theme="1"/>
      <name val="Tahoma"/>
      <family val="2"/>
    </font>
    <font>
      <b/>
      <sz val="12"/>
      <color rgb="FFFFFFFF"/>
      <name val="Tahoma"/>
      <family val="2"/>
    </font>
    <font>
      <sz val="12"/>
      <name val="Tahoma"/>
      <family val="2"/>
    </font>
    <font>
      <b/>
      <sz val="12"/>
      <color rgb="FF4D4D4D"/>
      <name val="Tahoma"/>
      <family val="2"/>
    </font>
    <font>
      <sz val="12"/>
      <color rgb="FF4D4D4D"/>
      <name val="Tahoma"/>
      <family val="2"/>
    </font>
    <font>
      <sz val="11"/>
      <color rgb="FF808080"/>
      <name val="Tahoma"/>
      <family val="2"/>
    </font>
    <font>
      <sz val="12"/>
      <color rgb="FF000000"/>
      <name val="Calibri"/>
      <family val="2"/>
    </font>
    <font>
      <b/>
      <sz val="20"/>
      <color rgb="FF000000"/>
      <name val="Calibri"/>
      <family val="2"/>
    </font>
    <font>
      <sz val="11"/>
      <color theme="0" tint="-0.249977111117893"/>
      <name val="Tahoma"/>
      <family val="2"/>
    </font>
    <font>
      <b/>
      <sz val="12"/>
      <color rgb="FF000000"/>
      <name val="Tahoma"/>
      <family val="2"/>
    </font>
    <font>
      <b/>
      <sz val="12"/>
      <color rgb="FFFF0000"/>
      <name val="Tahoma"/>
      <family val="2"/>
    </font>
    <font>
      <i/>
      <sz val="11"/>
      <color rgb="FF808080"/>
      <name val="Tahoma"/>
      <family val="2"/>
    </font>
    <font>
      <b/>
      <sz val="9"/>
      <color theme="0"/>
      <name val="Tahoma"/>
      <family val="2"/>
    </font>
    <font>
      <sz val="8"/>
      <name val="Calibri"/>
      <family val="2"/>
      <scheme val="minor"/>
    </font>
    <font>
      <sz val="10"/>
      <name val="Tahoma"/>
      <family val="2"/>
    </font>
    <font>
      <b/>
      <sz val="14"/>
      <color theme="4" tint="-0.249977111117893"/>
      <name val="Tahoma"/>
      <family val="2"/>
    </font>
    <font>
      <sz val="8"/>
      <color theme="1"/>
      <name val="Arial"/>
      <family val="2"/>
    </font>
    <font>
      <b/>
      <sz val="8"/>
      <color theme="1"/>
      <name val="Arial"/>
      <family val="2"/>
    </font>
    <font>
      <b/>
      <sz val="11"/>
      <color theme="1" tint="0.34998626667073579"/>
      <name val="Calibri"/>
      <family val="2"/>
      <scheme val="minor"/>
    </font>
    <font>
      <sz val="9"/>
      <color theme="1" tint="0.249977111117893"/>
      <name val="Arial"/>
      <family val="2"/>
    </font>
    <font>
      <sz val="11"/>
      <color theme="1"/>
      <name val="Calibri"/>
      <family val="2"/>
    </font>
    <font>
      <b/>
      <sz val="11"/>
      <color theme="0"/>
      <name val="Arial"/>
      <family val="2"/>
    </font>
    <font>
      <b/>
      <sz val="12"/>
      <color theme="0"/>
      <name val="Arial"/>
      <family val="2"/>
    </font>
    <font>
      <b/>
      <sz val="9"/>
      <color theme="1"/>
      <name val="Calibri"/>
      <family val="2"/>
      <scheme val="minor"/>
    </font>
    <font>
      <b/>
      <sz val="9"/>
      <color indexed="81"/>
      <name val="Tahoma"/>
      <family val="2"/>
    </font>
    <font>
      <sz val="9"/>
      <color indexed="81"/>
      <name val="Tahoma"/>
      <family val="2"/>
    </font>
    <font>
      <u/>
      <sz val="12"/>
      <color theme="10"/>
      <name val="Calibri"/>
      <family val="2"/>
      <scheme val="minor"/>
    </font>
    <font>
      <b/>
      <i/>
      <sz val="12"/>
      <name val="Tahoma"/>
      <family val="2"/>
    </font>
    <font>
      <b/>
      <sz val="10"/>
      <color theme="3"/>
      <name val="Tahoma"/>
      <family val="2"/>
    </font>
  </fonts>
  <fills count="131">
    <fill>
      <patternFill patternType="none"/>
    </fill>
    <fill>
      <patternFill patternType="gray125"/>
    </fill>
    <fill>
      <patternFill patternType="solid">
        <fgColor rgb="FFFFFFFF"/>
        <bgColor rgb="FF000000"/>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FAFAFA"/>
        <bgColor rgb="FF000000"/>
      </patternFill>
    </fill>
    <fill>
      <patternFill patternType="solid">
        <fgColor rgb="FF4D4D4D"/>
        <bgColor rgb="FF000000"/>
      </patternFill>
    </fill>
    <fill>
      <patternFill patternType="solid">
        <fgColor rgb="FFC0C0C0"/>
        <bgColor rgb="FF000000"/>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solid">
        <fgColor theme="4"/>
        <bgColor indexed="64"/>
      </patternFill>
    </fill>
    <fill>
      <patternFill patternType="mediumGray">
        <fgColor indexed="9"/>
        <bgColor theme="0"/>
      </patternFill>
    </fill>
    <fill>
      <patternFill patternType="solid">
        <fgColor theme="2"/>
        <bgColor indexed="64"/>
      </patternFill>
    </fill>
    <fill>
      <patternFill patternType="solid">
        <fgColor theme="0" tint="-0.499984740745262"/>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808080"/>
        <bgColor indexed="64"/>
      </patternFill>
    </fill>
    <fill>
      <patternFill patternType="solid">
        <fgColor rgb="FFC00000"/>
        <bgColor indexed="64"/>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indexed="64"/>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rgb="FF18414C"/>
        <bgColor indexed="64"/>
      </patternFill>
    </fill>
    <fill>
      <patternFill patternType="solid">
        <fgColor indexed="22"/>
        <bgColor indexed="64"/>
      </patternFill>
    </fill>
    <fill>
      <patternFill patternType="solid">
        <fgColor indexed="24"/>
      </patternFill>
    </fill>
    <fill>
      <patternFill patternType="solid">
        <fgColor indexed="26"/>
        <bgColor indexed="64"/>
      </patternFill>
    </fill>
    <fill>
      <patternFill patternType="solid">
        <fgColor indexed="43"/>
      </patternFill>
    </fill>
    <fill>
      <patternFill patternType="solid">
        <fgColor indexed="51"/>
        <bgColor indexed="64"/>
      </patternFill>
    </fill>
    <fill>
      <patternFill patternType="mediumGray">
        <fgColor indexed="22"/>
      </patternFill>
    </fill>
    <fill>
      <patternFill patternType="gray0625">
        <fgColor indexed="11"/>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03C69"/>
        <bgColor indexed="39"/>
      </patternFill>
    </fill>
    <fill>
      <patternFill patternType="solid">
        <fgColor theme="0" tint="-4.9989318521683403E-2"/>
        <bgColor indexed="64"/>
      </patternFill>
    </fill>
    <fill>
      <patternFill patternType="solid">
        <fgColor rgb="FF1D3382"/>
        <bgColor indexed="64"/>
      </patternFill>
    </fill>
    <fill>
      <patternFill patternType="solid">
        <fgColor rgb="FF002060"/>
        <bgColor indexed="64"/>
      </patternFill>
    </fill>
    <fill>
      <patternFill patternType="solid">
        <fgColor theme="0"/>
        <bgColor indexed="39"/>
      </patternFill>
    </fill>
    <fill>
      <patternFill patternType="solid">
        <fgColor theme="0" tint="-0.249977111117893"/>
        <bgColor indexed="64"/>
      </patternFill>
    </fill>
    <fill>
      <patternFill patternType="solid">
        <fgColor rgb="FF00B0F0"/>
        <bgColor indexed="64"/>
      </patternFill>
    </fill>
    <fill>
      <patternFill patternType="solid">
        <fgColor rgb="FF0070C0"/>
        <bgColor indexed="64"/>
      </patternFill>
    </fill>
    <fill>
      <patternFill patternType="solid">
        <fgColor theme="1" tint="0.34998626667073579"/>
        <bgColor indexed="64"/>
      </patternFill>
    </fill>
    <fill>
      <patternFill patternType="solid">
        <fgColor rgb="FF002060"/>
        <bgColor indexed="39"/>
      </patternFill>
    </fill>
    <fill>
      <patternFill patternType="solid">
        <fgColor theme="4" tint="-0.499984740745262"/>
        <bgColor indexed="64"/>
      </patternFill>
    </fill>
    <fill>
      <patternFill patternType="solid">
        <fgColor indexed="9"/>
        <bgColor indexed="64"/>
      </patternFill>
    </fill>
    <fill>
      <patternFill patternType="solid">
        <fgColor rgb="FF00296A"/>
        <bgColor indexed="64"/>
      </patternFill>
    </fill>
    <fill>
      <patternFill patternType="solid">
        <fgColor rgb="FF05376A"/>
        <bgColor rgb="FF000000"/>
      </patternFill>
    </fill>
    <fill>
      <patternFill patternType="solid">
        <fgColor theme="2" tint="-0.499984740745262"/>
        <bgColor indexed="64"/>
      </patternFill>
    </fill>
    <fill>
      <patternFill patternType="solid">
        <fgColor rgb="FF00D64C"/>
        <bgColor indexed="64"/>
      </patternFill>
    </fill>
    <fill>
      <patternFill patternType="solid">
        <fgColor theme="1"/>
        <bgColor indexed="64"/>
      </patternFill>
    </fill>
  </fills>
  <borders count="131">
    <border>
      <left/>
      <right/>
      <top/>
      <bottom/>
      <diagonal/>
    </border>
    <border>
      <left/>
      <right/>
      <top/>
      <bottom style="double">
        <color indexed="64"/>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right/>
      <top style="medium">
        <color rgb="FFFFFFFF"/>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style="hair">
        <color theme="0"/>
      </left>
      <right style="hair">
        <color theme="0"/>
      </right>
      <top style="hair">
        <color theme="0"/>
      </top>
      <bottom style="hair">
        <color theme="0"/>
      </bottom>
      <diagonal/>
    </border>
    <border>
      <left/>
      <right/>
      <top/>
      <bottom style="thin">
        <color indexed="64"/>
      </bottom>
      <diagonal/>
    </border>
    <border>
      <left style="medium">
        <color rgb="FFFFFFFF"/>
      </left>
      <right/>
      <top/>
      <bottom/>
      <diagonal/>
    </border>
    <border>
      <left style="hair">
        <color theme="0"/>
      </left>
      <right style="hair">
        <color theme="0"/>
      </right>
      <top style="hair">
        <color theme="0"/>
      </top>
      <bottom/>
      <diagonal/>
    </border>
    <border>
      <left style="thin">
        <color indexed="64"/>
      </left>
      <right style="thin">
        <color theme="0"/>
      </right>
      <top style="thin">
        <color theme="0"/>
      </top>
      <bottom style="thin">
        <color indexed="64"/>
      </bottom>
      <diagonal/>
    </border>
    <border>
      <left style="thin">
        <color theme="0"/>
      </left>
      <right/>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top style="thin">
        <color rgb="FF003C69"/>
      </top>
      <bottom style="double">
        <color rgb="FF003C69"/>
      </bottom>
      <diagonal/>
    </border>
    <border>
      <left style="thin">
        <color rgb="FF003C69"/>
      </left>
      <right style="thin">
        <color rgb="FF003C69"/>
      </right>
      <top style="thin">
        <color rgb="FF003C69"/>
      </top>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style="thin">
        <color rgb="FF003C69"/>
      </left>
      <right style="thin">
        <color rgb="FF003C69"/>
      </right>
      <top/>
      <bottom/>
      <diagonal/>
    </border>
    <border>
      <left style="thin">
        <color rgb="FF003C69"/>
      </left>
      <right style="thin">
        <color rgb="FF003C69"/>
      </right>
      <top/>
      <bottom style="thin">
        <color rgb="FF003C69"/>
      </bottom>
      <diagonal/>
    </border>
    <border>
      <left/>
      <right/>
      <top style="thin">
        <color rgb="FF003C69"/>
      </top>
      <bottom/>
      <diagonal/>
    </border>
    <border>
      <left/>
      <right/>
      <top/>
      <bottom style="thin">
        <color rgb="FF003C69"/>
      </bottom>
      <diagonal/>
    </border>
    <border>
      <left style="thin">
        <color rgb="FF003C69"/>
      </left>
      <right style="thin">
        <color rgb="FF003C69"/>
      </right>
      <top style="thin">
        <color rgb="FF003C69"/>
      </top>
      <bottom style="double">
        <color rgb="FF003C69"/>
      </bottom>
      <diagonal/>
    </border>
    <border>
      <left style="thin">
        <color rgb="FF003C69"/>
      </left>
      <right style="thin">
        <color rgb="FF003C69"/>
      </right>
      <top style="thin">
        <color rgb="FF003C69"/>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style="thin">
        <color indexed="64"/>
      </bottom>
      <diagonal/>
    </border>
    <border>
      <left/>
      <right/>
      <top style="medium">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double">
        <color indexed="64"/>
      </left>
      <right/>
      <top/>
      <bottom style="hair">
        <color indexed="64"/>
      </bottom>
      <diagonal/>
    </border>
    <border>
      <left/>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right/>
      <top style="double">
        <color indexed="24"/>
      </top>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right style="thin">
        <color theme="0"/>
      </right>
      <top/>
      <bottom style="thin">
        <color indexed="64"/>
      </bottom>
      <diagonal/>
    </border>
    <border>
      <left/>
      <right/>
      <top/>
      <bottom style="thin">
        <color theme="1" tint="0.34998626667073579"/>
      </bottom>
      <diagonal/>
    </border>
    <border>
      <left/>
      <right/>
      <top style="thin">
        <color theme="1" tint="0.34998626667073579"/>
      </top>
      <bottom style="thin">
        <color rgb="FF00B0F0"/>
      </bottom>
      <diagonal/>
    </border>
    <border>
      <left/>
      <right/>
      <top style="thin">
        <color theme="0" tint="-0.14993743705557422"/>
      </top>
      <bottom style="thin">
        <color theme="0" tint="-0.14993743705557422"/>
      </bottom>
      <diagonal/>
    </border>
    <border>
      <left/>
      <right/>
      <top style="thin">
        <color rgb="FFD0CECE"/>
      </top>
      <bottom style="thin">
        <color rgb="FFD0CECE"/>
      </bottom>
      <diagonal/>
    </border>
    <border>
      <left/>
      <right/>
      <top style="thin">
        <color indexed="64"/>
      </top>
      <bottom style="thin">
        <color indexed="64"/>
      </bottom>
      <diagonal/>
    </border>
    <border>
      <left/>
      <right style="thin">
        <color rgb="FF003C69"/>
      </right>
      <top style="thin">
        <color rgb="FF003C69"/>
      </top>
      <bottom/>
      <diagonal/>
    </border>
    <border>
      <left/>
      <right style="thin">
        <color rgb="FF003C69"/>
      </right>
      <top/>
      <bottom/>
      <diagonal/>
    </border>
    <border>
      <left/>
      <right style="thin">
        <color rgb="FF003C69"/>
      </right>
      <top/>
      <bottom style="thin">
        <color rgb="FF003C69"/>
      </bottom>
      <diagonal/>
    </border>
    <border>
      <left/>
      <right/>
      <top/>
      <bottom style="thin">
        <color auto="1"/>
      </bottom>
      <diagonal/>
    </border>
    <border>
      <left style="hair">
        <color rgb="FFFFFFFF"/>
      </left>
      <right style="hair">
        <color rgb="FFFFFFFF"/>
      </right>
      <top/>
      <bottom style="hair">
        <color rgb="FFFFFFFF"/>
      </bottom>
      <diagonal/>
    </border>
    <border>
      <left/>
      <right/>
      <top/>
      <bottom style="thin">
        <color rgb="FFD0CECE"/>
      </bottom>
      <diagonal/>
    </border>
    <border>
      <left/>
      <right/>
      <top style="thin">
        <color rgb="FFD0CECE"/>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right/>
      <top/>
      <bottom style="thin">
        <color theme="0" tint="-0.2499465926084170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style="hair">
        <color rgb="FFFFFFFF"/>
      </left>
      <right/>
      <top style="hair">
        <color rgb="FFFFFFFF"/>
      </top>
      <bottom style="hair">
        <color rgb="FFFFFFFF"/>
      </bottom>
      <diagonal/>
    </border>
    <border>
      <left style="hair">
        <color rgb="FFFFFFFF"/>
      </left>
      <right/>
      <top style="hair">
        <color rgb="FFFFFFFF"/>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rgb="FF003C69"/>
      </left>
      <right style="thin">
        <color rgb="FF003C69"/>
      </right>
      <top style="thin">
        <color rgb="FF1F497D"/>
      </top>
      <bottom style="thin">
        <color rgb="FF1F497D"/>
      </bottom>
      <diagonal/>
    </border>
    <border>
      <left style="thin">
        <color rgb="FF003C69"/>
      </left>
      <right style="thin">
        <color rgb="FF003C69"/>
      </right>
      <top style="thin">
        <color rgb="FF1F497D"/>
      </top>
      <bottom style="thin">
        <color rgb="FF003C6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7878">
    <xf numFmtId="0" fontId="0" fillId="0" borderId="0"/>
    <xf numFmtId="43" fontId="1" fillId="0" borderId="0" applyFont="0" applyFill="0" applyBorder="0" applyAlignment="0" applyProtection="0"/>
    <xf numFmtId="0" fontId="4" fillId="0" borderId="0"/>
    <xf numFmtId="0" fontId="5" fillId="0" borderId="0" applyNumberFormat="0" applyFill="0" applyBorder="0" applyAlignment="0" applyProtection="0"/>
    <xf numFmtId="165" fontId="6" fillId="0" borderId="0"/>
    <xf numFmtId="166" fontId="7" fillId="0" borderId="0">
      <protection locked="0"/>
    </xf>
    <xf numFmtId="165" fontId="6" fillId="0" borderId="0"/>
    <xf numFmtId="41" fontId="1" fillId="0" borderId="0" applyFont="0" applyFill="0" applyBorder="0" applyAlignment="0" applyProtection="0"/>
    <xf numFmtId="167"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0" fontId="4" fillId="0" borderId="0" applyNumberFormat="0" applyFont="0" applyFill="0" applyBorder="0" applyAlignment="0" applyProtection="0"/>
    <xf numFmtId="168"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172" fontId="4" fillId="0" borderId="0" applyFont="0" applyFill="0" applyBorder="0" applyAlignment="0" applyProtection="0"/>
    <xf numFmtId="0" fontId="4" fillId="0" borderId="0"/>
    <xf numFmtId="43" fontId="1" fillId="0" borderId="0" applyFont="0" applyFill="0" applyBorder="0" applyAlignment="0" applyProtection="0"/>
    <xf numFmtId="0" fontId="38" fillId="44" borderId="0">
      <alignment horizontal="left"/>
    </xf>
    <xf numFmtId="0" fontId="41" fillId="43" borderId="0"/>
    <xf numFmtId="41" fontId="1" fillId="0" borderId="0" applyFont="0" applyFill="0" applyBorder="0" applyAlignment="0" applyProtection="0"/>
    <xf numFmtId="0" fontId="43" fillId="45" borderId="45" applyNumberFormat="0" applyAlignment="0" applyProtection="0">
      <alignment horizontal="left" vertical="center" indent="1"/>
    </xf>
    <xf numFmtId="180" fontId="44" fillId="0" borderId="46" applyNumberFormat="0" applyProtection="0">
      <alignment horizontal="right" vertical="center"/>
    </xf>
    <xf numFmtId="180" fontId="43" fillId="0" borderId="47" applyNumberFormat="0" applyProtection="0">
      <alignment horizontal="right" vertical="center"/>
    </xf>
    <xf numFmtId="0" fontId="45" fillId="2" borderId="47" applyNumberFormat="0" applyAlignment="0" applyProtection="0">
      <alignment horizontal="left" vertical="center" indent="1"/>
    </xf>
    <xf numFmtId="0" fontId="45" fillId="46" borderId="47" applyNumberFormat="0" applyAlignment="0" applyProtection="0">
      <alignment horizontal="left" vertical="center" indent="1"/>
    </xf>
    <xf numFmtId="180" fontId="44" fillId="47" borderId="46" applyNumberFormat="0" applyBorder="0" applyProtection="0">
      <alignment horizontal="right" vertical="center"/>
    </xf>
    <xf numFmtId="0" fontId="45" fillId="2" borderId="47" applyNumberFormat="0" applyAlignment="0" applyProtection="0">
      <alignment horizontal="left" vertical="center" indent="1"/>
    </xf>
    <xf numFmtId="180" fontId="43" fillId="46" borderId="47" applyNumberFormat="0" applyProtection="0">
      <alignment horizontal="right" vertical="center"/>
    </xf>
    <xf numFmtId="180" fontId="43" fillId="47" borderId="47" applyNumberFormat="0" applyBorder="0" applyProtection="0">
      <alignment horizontal="right" vertical="center"/>
    </xf>
    <xf numFmtId="180" fontId="46" fillId="48" borderId="48" applyNumberFormat="0" applyBorder="0" applyAlignment="0" applyProtection="0">
      <alignment horizontal="right" vertical="center" indent="1"/>
    </xf>
    <xf numFmtId="180" fontId="47" fillId="49" borderId="48" applyNumberFormat="0" applyBorder="0" applyAlignment="0" applyProtection="0">
      <alignment horizontal="right" vertical="center" indent="1"/>
    </xf>
    <xf numFmtId="180" fontId="47" fillId="50" borderId="48" applyNumberFormat="0" applyBorder="0" applyAlignment="0" applyProtection="0">
      <alignment horizontal="right" vertical="center" indent="1"/>
    </xf>
    <xf numFmtId="180" fontId="48" fillId="51" borderId="48" applyNumberFormat="0" applyBorder="0" applyAlignment="0" applyProtection="0">
      <alignment horizontal="right" vertical="center" indent="1"/>
    </xf>
    <xf numFmtId="180" fontId="48" fillId="52" borderId="48" applyNumberFormat="0" applyBorder="0" applyAlignment="0" applyProtection="0">
      <alignment horizontal="right" vertical="center" indent="1"/>
    </xf>
    <xf numFmtId="180" fontId="48" fillId="53" borderId="48" applyNumberFormat="0" applyBorder="0" applyAlignment="0" applyProtection="0">
      <alignment horizontal="right" vertical="center" indent="1"/>
    </xf>
    <xf numFmtId="180" fontId="49" fillId="54" borderId="48" applyNumberFormat="0" applyBorder="0" applyAlignment="0" applyProtection="0">
      <alignment horizontal="right" vertical="center" indent="1"/>
    </xf>
    <xf numFmtId="180" fontId="49" fillId="55" borderId="48" applyNumberFormat="0" applyBorder="0" applyAlignment="0" applyProtection="0">
      <alignment horizontal="right" vertical="center" indent="1"/>
    </xf>
    <xf numFmtId="180" fontId="49" fillId="56" borderId="48" applyNumberFormat="0" applyBorder="0" applyAlignment="0" applyProtection="0">
      <alignment horizontal="right" vertical="center" indent="1"/>
    </xf>
    <xf numFmtId="0" fontId="50" fillId="0" borderId="45" applyNumberFormat="0" applyFont="0" applyFill="0" applyAlignment="0" applyProtection="0"/>
    <xf numFmtId="180" fontId="44" fillId="57" borderId="45" applyNumberFormat="0" applyAlignment="0" applyProtection="0">
      <alignment horizontal="left" vertical="center" indent="1"/>
    </xf>
    <xf numFmtId="0" fontId="43" fillId="45" borderId="47" applyNumberFormat="0" applyAlignment="0" applyProtection="0">
      <alignment horizontal="left" vertical="center" indent="1"/>
    </xf>
    <xf numFmtId="0" fontId="45" fillId="58" borderId="45" applyNumberFormat="0" applyAlignment="0" applyProtection="0">
      <alignment horizontal="left" vertical="center" indent="1"/>
    </xf>
    <xf numFmtId="0" fontId="45" fillId="59" borderId="45" applyNumberFormat="0" applyAlignment="0" applyProtection="0">
      <alignment horizontal="left" vertical="center" indent="1"/>
    </xf>
    <xf numFmtId="0" fontId="45" fillId="60" borderId="45" applyNumberFormat="0" applyAlignment="0" applyProtection="0">
      <alignment horizontal="left" vertical="center" indent="1"/>
    </xf>
    <xf numFmtId="0" fontId="45" fillId="47" borderId="45" applyNumberFormat="0" applyAlignment="0" applyProtection="0">
      <alignment horizontal="left" vertical="center" indent="1"/>
    </xf>
    <xf numFmtId="0" fontId="45" fillId="46" borderId="47" applyNumberFormat="0" applyAlignment="0" applyProtection="0">
      <alignment horizontal="left" vertical="center" indent="1"/>
    </xf>
    <xf numFmtId="0" fontId="51" fillId="0" borderId="49" applyNumberFormat="0" applyFill="0" applyBorder="0" applyAlignment="0" applyProtection="0"/>
    <xf numFmtId="0" fontId="52" fillId="0" borderId="49" applyNumberFormat="0" applyBorder="0" applyAlignment="0" applyProtection="0"/>
    <xf numFmtId="0" fontId="51" fillId="2" borderId="47" applyNumberFormat="0" applyAlignment="0" applyProtection="0">
      <alignment horizontal="left" vertical="center" indent="1"/>
    </xf>
    <xf numFmtId="0" fontId="51" fillId="2" borderId="47" applyNumberFormat="0" applyAlignment="0" applyProtection="0">
      <alignment horizontal="left" vertical="center" indent="1"/>
    </xf>
    <xf numFmtId="0" fontId="51" fillId="46" borderId="47" applyNumberFormat="0" applyAlignment="0" applyProtection="0">
      <alignment horizontal="left" vertical="center" indent="1"/>
    </xf>
    <xf numFmtId="180" fontId="53" fillId="46" borderId="47" applyNumberFormat="0" applyProtection="0">
      <alignment horizontal="right" vertical="center"/>
    </xf>
    <xf numFmtId="180" fontId="54" fillId="47" borderId="46" applyNumberFormat="0" applyBorder="0" applyProtection="0">
      <alignment horizontal="right" vertical="center"/>
    </xf>
    <xf numFmtId="180" fontId="53" fillId="47" borderId="47" applyNumberFormat="0" applyBorder="0" applyProtection="0">
      <alignment horizontal="right" vertical="center"/>
    </xf>
    <xf numFmtId="180" fontId="44" fillId="0" borderId="46" applyNumberFormat="0" applyFill="0" applyBorder="0" applyAlignment="0" applyProtection="0">
      <alignment horizontal="right" vertical="center"/>
    </xf>
    <xf numFmtId="180" fontId="44" fillId="0" borderId="46" applyNumberFormat="0" applyFill="0" applyBorder="0" applyAlignment="0" applyProtection="0">
      <alignment horizontal="right" vertical="center"/>
    </xf>
    <xf numFmtId="41" fontId="1" fillId="0" borderId="0" applyFont="0" applyFill="0" applyBorder="0" applyAlignment="0" applyProtection="0"/>
    <xf numFmtId="164" fontId="1" fillId="0" borderId="0" applyFont="0" applyFill="0" applyBorder="0" applyAlignment="0" applyProtection="0"/>
    <xf numFmtId="0" fontId="1" fillId="0" borderId="0"/>
    <xf numFmtId="9" fontId="4" fillId="0" borderId="0" applyFont="0" applyFill="0" applyBorder="0" applyAlignment="0" applyProtection="0"/>
    <xf numFmtId="0" fontId="55" fillId="0" borderId="0">
      <alignment horizontal="right" vertical="center"/>
    </xf>
    <xf numFmtId="0" fontId="42" fillId="61" borderId="51" applyNumberFormat="0" applyAlignment="0" applyProtection="0">
      <alignment horizontal="left" vertical="center" indent="1"/>
    </xf>
    <xf numFmtId="180" fontId="57" fillId="0" borderId="46" applyNumberFormat="0" applyProtection="0">
      <alignment horizontal="right" vertical="center"/>
    </xf>
    <xf numFmtId="180" fontId="56" fillId="62" borderId="47" applyNumberFormat="0" applyProtection="0">
      <alignment horizontal="right" vertical="center"/>
    </xf>
    <xf numFmtId="0" fontId="50" fillId="0" borderId="51" applyNumberFormat="0" applyFont="0" applyFill="0" applyAlignment="0" applyProtection="0"/>
    <xf numFmtId="180" fontId="57" fillId="0" borderId="51" applyNumberFormat="0" applyAlignment="0" applyProtection="0">
      <alignment horizontal="left" vertical="center" indent="1"/>
    </xf>
    <xf numFmtId="0" fontId="56" fillId="63" borderId="47" applyNumberFormat="0" applyAlignment="0" applyProtection="0">
      <alignment horizontal="left" vertical="center" indent="1"/>
    </xf>
    <xf numFmtId="0" fontId="42" fillId="61" borderId="50" applyNumberFormat="0" applyAlignment="0" applyProtection="0">
      <alignment horizontal="left" vertical="center" indent="1"/>
    </xf>
    <xf numFmtId="0" fontId="39" fillId="61" borderId="45" applyNumberFormat="0" applyAlignment="0" applyProtection="0">
      <alignment horizontal="left" vertical="center" indent="1"/>
    </xf>
    <xf numFmtId="41" fontId="1" fillId="0" borderId="0" applyFont="0" applyFill="0" applyBorder="0" applyAlignment="0" applyProtection="0"/>
    <xf numFmtId="41" fontId="1" fillId="0" borderId="0" applyFont="0" applyFill="0" applyBorder="0" applyAlignment="0" applyProtection="0"/>
    <xf numFmtId="180" fontId="44" fillId="57" borderId="45" applyNumberFormat="0" applyAlignment="0" applyProtection="0">
      <alignment horizontal="left" vertical="center" indent="1"/>
    </xf>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5"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182" fontId="58" fillId="0" borderId="0">
      <protection locked="0"/>
    </xf>
    <xf numFmtId="182" fontId="58" fillId="0" borderId="0">
      <protection locked="0"/>
    </xf>
    <xf numFmtId="0" fontId="1" fillId="0" borderId="0"/>
    <xf numFmtId="0" fontId="1" fillId="0" borderId="0"/>
    <xf numFmtId="9" fontId="5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84" fontId="62" fillId="0" borderId="0" applyFont="0" applyFill="0" applyBorder="0" applyAlignment="0" applyProtection="0"/>
    <xf numFmtId="185" fontId="6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62" fillId="0" borderId="0" applyFont="0" applyFill="0" applyBorder="0" applyAlignment="0" applyProtection="0"/>
    <xf numFmtId="187" fontId="62" fillId="0" borderId="0" applyFont="0" applyFill="0" applyBorder="0" applyAlignment="0" applyProtection="0"/>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64" borderId="0" applyNumberFormat="0" applyBorder="0" applyAlignment="0" applyProtection="0"/>
    <xf numFmtId="0" fontId="59" fillId="65" borderId="0" applyNumberFormat="0" applyBorder="0" applyAlignment="0" applyProtection="0"/>
    <xf numFmtId="0" fontId="59" fillId="66" borderId="0" applyNumberFormat="0" applyBorder="0" applyAlignment="0" applyProtection="0"/>
    <xf numFmtId="0" fontId="59" fillId="67" borderId="0" applyNumberFormat="0" applyBorder="0" applyAlignment="0" applyProtection="0"/>
    <xf numFmtId="0" fontId="59" fillId="68" borderId="0" applyNumberFormat="0" applyBorder="0" applyAlignment="0" applyProtection="0"/>
    <xf numFmtId="0" fontId="59" fillId="69" borderId="0" applyNumberFormat="0" applyBorder="0" applyAlignment="0" applyProtection="0"/>
    <xf numFmtId="0" fontId="64" fillId="70" borderId="0" applyNumberFormat="0" applyBorder="0" applyAlignment="0" applyProtection="0"/>
    <xf numFmtId="0" fontId="37" fillId="27"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37" fillId="27"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37" fillId="27"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37" fillId="27"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1"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1"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5" fillId="64" borderId="0" applyNumberFormat="0" applyBorder="0" applyAlignment="0" applyProtection="0"/>
    <xf numFmtId="0" fontId="66" fillId="65" borderId="0" applyNumberFormat="0" applyBorder="0" applyAlignment="0" applyProtection="0"/>
    <xf numFmtId="0" fontId="64" fillId="71" borderId="0" applyNumberFormat="0" applyBorder="0" applyAlignment="0" applyProtection="0"/>
    <xf numFmtId="0" fontId="1" fillId="33" borderId="0" applyNumberFormat="0" applyBorder="0" applyAlignment="0" applyProtection="0"/>
    <xf numFmtId="0" fontId="66" fillId="66" borderId="0" applyNumberFormat="0" applyBorder="0" applyAlignment="0" applyProtection="0"/>
    <xf numFmtId="0" fontId="64" fillId="72" borderId="0" applyNumberFormat="0" applyBorder="0" applyAlignment="0" applyProtection="0"/>
    <xf numFmtId="0" fontId="1" fillId="36" borderId="0" applyNumberFormat="0" applyBorder="0" applyAlignment="0" applyProtection="0"/>
    <xf numFmtId="0" fontId="66" fillId="67" borderId="0" applyNumberFormat="0" applyBorder="0" applyAlignment="0" applyProtection="0"/>
    <xf numFmtId="0" fontId="1" fillId="36"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4" fillId="73" borderId="0" applyNumberFormat="0" applyBorder="0" applyAlignment="0" applyProtection="0"/>
    <xf numFmtId="0" fontId="1" fillId="39" borderId="0" applyNumberFormat="0" applyBorder="0" applyAlignment="0" applyProtection="0"/>
    <xf numFmtId="0" fontId="66" fillId="68" borderId="0" applyNumberFormat="0" applyBorder="0" applyAlignment="0" applyProtection="0"/>
    <xf numFmtId="0" fontId="64" fillId="74" borderId="0" applyNumberFormat="0" applyBorder="0" applyAlignment="0" applyProtection="0"/>
    <xf numFmtId="0" fontId="1" fillId="41" borderId="0" applyNumberFormat="0" applyBorder="0" applyAlignment="0" applyProtection="0"/>
    <xf numFmtId="0" fontId="66" fillId="69" borderId="0" applyNumberFormat="0" applyBorder="0" applyAlignment="0" applyProtection="0"/>
    <xf numFmtId="0" fontId="59" fillId="75" borderId="0" applyNumberFormat="0" applyBorder="0" applyAlignment="0" applyProtection="0"/>
    <xf numFmtId="0" fontId="59" fillId="73" borderId="0" applyNumberFormat="0" applyBorder="0" applyAlignment="0" applyProtection="0"/>
    <xf numFmtId="0" fontId="59" fillId="70" borderId="0" applyNumberFormat="0" applyBorder="0" applyAlignment="0" applyProtection="0"/>
    <xf numFmtId="0" fontId="59" fillId="67" borderId="0" applyNumberFormat="0" applyBorder="0" applyAlignment="0" applyProtection="0"/>
    <xf numFmtId="0" fontId="59" fillId="75" borderId="0" applyNumberFormat="0" applyBorder="0" applyAlignment="0" applyProtection="0"/>
    <xf numFmtId="0" fontId="59" fillId="76" borderId="0" applyNumberFormat="0" applyBorder="0" applyAlignment="0" applyProtection="0"/>
    <xf numFmtId="0" fontId="64" fillId="70" borderId="0" applyNumberFormat="0" applyBorder="0" applyAlignment="0" applyProtection="0"/>
    <xf numFmtId="0" fontId="1" fillId="28" borderId="0" applyNumberFormat="0" applyBorder="0" applyAlignment="0" applyProtection="0"/>
    <xf numFmtId="0" fontId="66" fillId="75" borderId="0" applyNumberFormat="0" applyBorder="0" applyAlignment="0" applyProtection="0"/>
    <xf numFmtId="0" fontId="66" fillId="73" borderId="0" applyNumberFormat="0" applyBorder="0" applyAlignment="0" applyProtection="0"/>
    <xf numFmtId="0" fontId="64" fillId="77" borderId="0" applyNumberFormat="0" applyBorder="0" applyAlignment="0" applyProtection="0"/>
    <xf numFmtId="0" fontId="37" fillId="34" borderId="0" applyNumberFormat="0" applyBorder="0" applyAlignment="0" applyProtection="0"/>
    <xf numFmtId="0" fontId="65" fillId="70" borderId="0" applyNumberFormat="0" applyBorder="0" applyAlignment="0" applyProtection="0"/>
    <xf numFmtId="0" fontId="1" fillId="34"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5" fillId="70" borderId="0" applyNumberFormat="0" applyBorder="0" applyAlignment="0" applyProtection="0"/>
    <xf numFmtId="0" fontId="64" fillId="78" borderId="0" applyNumberFormat="0" applyBorder="0" applyAlignment="0" applyProtection="0"/>
    <xf numFmtId="0" fontId="1" fillId="37" borderId="0" applyNumberFormat="0" applyBorder="0" applyAlignment="0" applyProtection="0"/>
    <xf numFmtId="0" fontId="66" fillId="67" borderId="0" applyNumberFormat="0" applyBorder="0" applyAlignment="0" applyProtection="0"/>
    <xf numFmtId="0" fontId="64" fillId="73" borderId="0" applyNumberFormat="0" applyBorder="0" applyAlignment="0" applyProtection="0"/>
    <xf numFmtId="0" fontId="1" fillId="40" borderId="0" applyNumberFormat="0" applyBorder="0" applyAlignment="0" applyProtection="0"/>
    <xf numFmtId="0" fontId="66" fillId="75" borderId="0" applyNumberFormat="0" applyBorder="0" applyAlignment="0" applyProtection="0"/>
    <xf numFmtId="0" fontId="66" fillId="76" borderId="0" applyNumberFormat="0" applyBorder="0" applyAlignment="0" applyProtection="0"/>
    <xf numFmtId="0" fontId="67" fillId="79" borderId="0" applyNumberFormat="0" applyBorder="0" applyAlignment="0" applyProtection="0"/>
    <xf numFmtId="0" fontId="67" fillId="73" borderId="0" applyNumberFormat="0" applyBorder="0" applyAlignment="0" applyProtection="0"/>
    <xf numFmtId="0" fontId="67" fillId="70" borderId="0" applyNumberFormat="0" applyBorder="0" applyAlignment="0" applyProtection="0"/>
    <xf numFmtId="0" fontId="67" fillId="80" borderId="0" applyNumberFormat="0" applyBorder="0" applyAlignment="0" applyProtection="0"/>
    <xf numFmtId="0" fontId="67" fillId="81" borderId="0" applyNumberFormat="0" applyBorder="0" applyAlignment="0" applyProtection="0"/>
    <xf numFmtId="0" fontId="67" fillId="82" borderId="0" applyNumberFormat="0" applyBorder="0" applyAlignment="0" applyProtection="0"/>
    <xf numFmtId="0" fontId="68" fillId="70" borderId="0" applyNumberFormat="0" applyBorder="0" applyAlignment="0" applyProtection="0"/>
    <xf numFmtId="0" fontId="14" fillId="29" borderId="0" applyNumberFormat="0" applyBorder="0" applyAlignment="0" applyProtection="0"/>
    <xf numFmtId="0" fontId="69" fillId="79" borderId="0" applyNumberFormat="0" applyBorder="0" applyAlignment="0" applyProtection="0"/>
    <xf numFmtId="0" fontId="68" fillId="77" borderId="0" applyNumberFormat="0" applyBorder="0" applyAlignment="0" applyProtection="0"/>
    <xf numFmtId="0" fontId="14" fillId="35" borderId="0" applyNumberFormat="0" applyBorder="0" applyAlignment="0" applyProtection="0"/>
    <xf numFmtId="0" fontId="69" fillId="70" borderId="0" applyNumberFormat="0" applyBorder="0" applyAlignment="0" applyProtection="0"/>
    <xf numFmtId="188" fontId="70" fillId="0" borderId="0" applyNumberFormat="0" applyFill="0" applyBorder="0" applyAlignment="0"/>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189" fontId="28" fillId="83" borderId="52">
      <alignment horizontal="center" vertic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37" fontId="71" fillId="0" borderId="53">
      <alignment horizontal="center"/>
    </xf>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39" fontId="72" fillId="0" borderId="39" applyFill="0" applyBorder="0" applyAlignment="0">
      <alignment horizontal="center"/>
    </xf>
    <xf numFmtId="0" fontId="73" fillId="66" borderId="0" applyNumberFormat="0" applyBorder="0" applyAlignment="0" applyProtection="0"/>
    <xf numFmtId="0" fontId="4" fillId="83" borderId="36" applyNumberFormat="0" applyFont="0" applyAlignment="0" applyProtection="0"/>
    <xf numFmtId="0" fontId="74" fillId="84" borderId="54" applyNumberFormat="0" applyAlignment="0" applyProtection="0"/>
    <xf numFmtId="0" fontId="35" fillId="23" borderId="30" applyNumberFormat="0" applyAlignment="0" applyProtection="0"/>
    <xf numFmtId="0" fontId="75" fillId="85" borderId="55" applyNumberFormat="0" applyAlignment="0" applyProtection="0"/>
    <xf numFmtId="15" fontId="72" fillId="0" borderId="0">
      <alignment horizontal="center"/>
    </xf>
    <xf numFmtId="0" fontId="76" fillId="72" borderId="56" applyNumberFormat="0" applyAlignment="0" applyProtection="0"/>
    <xf numFmtId="0" fontId="36" fillId="24" borderId="32" applyNumberFormat="0" applyAlignment="0" applyProtection="0"/>
    <xf numFmtId="0" fontId="77" fillId="86" borderId="57" applyNumberFormat="0" applyAlignment="0" applyProtection="0"/>
    <xf numFmtId="0" fontId="78" fillId="86" borderId="57" applyNumberFormat="0" applyAlignment="0" applyProtection="0"/>
    <xf numFmtId="0" fontId="79" fillId="0" borderId="58" applyNumberFormat="0" applyFill="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8" fontId="81" fillId="0" borderId="0" applyFont="0" applyFill="0" applyBorder="0" applyAlignment="0" applyProtection="0"/>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79" fontId="4" fillId="0" borderId="0" applyFont="0" applyFill="0" applyBorder="0" applyAlignment="0" applyProtection="0"/>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4" fontId="4" fillId="0" borderId="0" applyFont="0" applyFill="0" applyBorder="0" applyAlignment="0" applyProtection="0"/>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67" fillId="87" borderId="0" applyNumberFormat="0" applyBorder="0" applyAlignment="0" applyProtection="0"/>
    <xf numFmtId="0" fontId="67" fillId="88" borderId="0" applyNumberFormat="0" applyBorder="0" applyAlignment="0" applyProtection="0"/>
    <xf numFmtId="0" fontId="67" fillId="77" borderId="0" applyNumberFormat="0" applyBorder="0" applyAlignment="0" applyProtection="0"/>
    <xf numFmtId="0" fontId="67" fillId="80" borderId="0" applyNumberFormat="0" applyBorder="0" applyAlignment="0" applyProtection="0"/>
    <xf numFmtId="0" fontId="67" fillId="81" borderId="0" applyNumberFormat="0" applyBorder="0" applyAlignment="0" applyProtection="0"/>
    <xf numFmtId="0" fontId="67" fillId="89" borderId="0" applyNumberFormat="0" applyBorder="0" applyAlignment="0" applyProtection="0"/>
    <xf numFmtId="0" fontId="68" fillId="82" borderId="0" applyNumberFormat="0" applyBorder="0" applyAlignment="0" applyProtection="0"/>
    <xf numFmtId="0" fontId="14" fillId="26" borderId="0" applyNumberFormat="0" applyBorder="0" applyAlignment="0" applyProtection="0"/>
    <xf numFmtId="0" fontId="69" fillId="87" borderId="0" applyNumberFormat="0" applyBorder="0" applyAlignment="0" applyProtection="0"/>
    <xf numFmtId="0" fontId="14" fillId="26" borderId="0" applyNumberFormat="0" applyBorder="0" applyAlignment="0" applyProtection="0"/>
    <xf numFmtId="0" fontId="68" fillId="90" borderId="0" applyNumberFormat="0" applyBorder="0" applyAlignment="0" applyProtection="0"/>
    <xf numFmtId="0" fontId="14" fillId="32" borderId="0" applyNumberFormat="0" applyBorder="0" applyAlignment="0" applyProtection="0"/>
    <xf numFmtId="0" fontId="69" fillId="77" borderId="0" applyNumberFormat="0" applyBorder="0" applyAlignment="0" applyProtection="0"/>
    <xf numFmtId="0" fontId="68" fillId="91" borderId="0" applyNumberFormat="0" applyBorder="0" applyAlignment="0" applyProtection="0"/>
    <xf numFmtId="0" fontId="14" fillId="38" borderId="0" applyNumberFormat="0" applyBorder="0" applyAlignment="0" applyProtection="0"/>
    <xf numFmtId="0" fontId="69" fillId="81" borderId="0" applyNumberFormat="0" applyBorder="0" applyAlignment="0" applyProtection="0"/>
    <xf numFmtId="0" fontId="14" fillId="3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81"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0" fontId="4" fillId="0" borderId="0"/>
    <xf numFmtId="169" fontId="65" fillId="92" borderId="59" applyFont="0" applyBorder="0"/>
    <xf numFmtId="169" fontId="82" fillId="93" borderId="60">
      <protection locked="0"/>
    </xf>
    <xf numFmtId="0" fontId="4" fillId="94" borderId="0" applyFont="0"/>
    <xf numFmtId="0" fontId="4" fillId="95"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5" fontId="4" fillId="0" borderId="0" applyFont="0" applyFill="0" applyBorder="0" applyAlignment="0" applyProtection="0"/>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5" fontId="4"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97" fontId="83" fillId="0" borderId="0">
      <alignment horizontal="right" vertical="top"/>
    </xf>
    <xf numFmtId="198" fontId="83" fillId="0" borderId="0" applyFont="0" applyFill="0">
      <alignment horizontal="right" vertical="top"/>
    </xf>
    <xf numFmtId="41" fontId="84" fillId="0" borderId="0" applyFill="0" applyBorder="0" applyAlignment="0" applyProtection="0">
      <alignment horizontal="right" vertical="top"/>
    </xf>
    <xf numFmtId="0" fontId="84" fillId="0" borderId="0" applyFill="0" applyBorder="0">
      <alignment horizontal="left" vertical="top"/>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1" fontId="91" fillId="0" borderId="44" applyBorder="0"/>
    <xf numFmtId="0" fontId="92"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4" fillId="97" borderId="0" applyNumberFormat="0" applyBorder="0" applyAlignment="0" applyProtection="0"/>
    <xf numFmtId="0" fontId="33" fillId="21" borderId="0" applyNumberFormat="0" applyBorder="0" applyAlignment="0" applyProtection="0"/>
    <xf numFmtId="0" fontId="95" fillId="65" borderId="0" applyNumberFormat="0" applyBorder="0" applyAlignment="0" applyProtection="0"/>
    <xf numFmtId="0" fontId="96" fillId="65" borderId="0" applyNumberFormat="0" applyBorder="0" applyAlignment="0" applyProtection="0"/>
    <xf numFmtId="0" fontId="97" fillId="0" borderId="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10" fontId="40" fillId="98" borderId="36" applyNumberFormat="0" applyBorder="0" applyAlignment="0" applyProtection="0"/>
    <xf numFmtId="0" fontId="98" fillId="0" borderId="43" applyNumberFormat="0" applyBorder="0" applyAlignment="0">
      <alignment horizontal="left"/>
    </xf>
    <xf numFmtId="38" fontId="84" fillId="0" borderId="40">
      <alignment vertical="center"/>
    </xf>
    <xf numFmtId="38" fontId="84" fillId="0" borderId="40">
      <alignment vertical="center"/>
    </xf>
    <xf numFmtId="38" fontId="84" fillId="0" borderId="40">
      <alignment vertical="center"/>
    </xf>
    <xf numFmtId="38" fontId="84" fillId="0" borderId="40">
      <alignment vertical="center"/>
    </xf>
    <xf numFmtId="38" fontId="84" fillId="0" borderId="40">
      <alignment vertical="center"/>
    </xf>
    <xf numFmtId="38" fontId="84" fillId="0" borderId="40">
      <alignment vertical="center"/>
    </xf>
    <xf numFmtId="38" fontId="84" fillId="0" borderId="40">
      <alignment vertical="center"/>
    </xf>
    <xf numFmtId="38" fontId="84" fillId="0" borderId="40">
      <alignment vertical="center"/>
    </xf>
    <xf numFmtId="38" fontId="84" fillId="0" borderId="40">
      <alignment vertical="center"/>
    </xf>
    <xf numFmtId="38"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38" fontId="84" fillId="0" borderId="40">
      <alignment vertical="center"/>
    </xf>
    <xf numFmtId="38" fontId="84" fillId="0" borderId="40">
      <alignment vertical="center"/>
    </xf>
    <xf numFmtId="38" fontId="84" fillId="0" borderId="40">
      <alignment vertical="center"/>
    </xf>
    <xf numFmtId="38" fontId="84" fillId="0" borderId="40">
      <alignment vertical="center"/>
    </xf>
    <xf numFmtId="38" fontId="84" fillId="0" borderId="40">
      <alignment vertical="center"/>
    </xf>
    <xf numFmtId="38" fontId="84" fillId="0" borderId="40">
      <alignment vertical="center"/>
    </xf>
    <xf numFmtId="38" fontId="84" fillId="0" borderId="40">
      <alignment vertical="center"/>
    </xf>
    <xf numFmtId="38" fontId="84" fillId="0" borderId="40">
      <alignment vertical="center"/>
    </xf>
    <xf numFmtId="38" fontId="84" fillId="0" borderId="40">
      <alignment vertical="center"/>
    </xf>
    <xf numFmtId="38" fontId="84" fillId="0" borderId="40">
      <alignment vertical="center"/>
    </xf>
    <xf numFmtId="202" fontId="4" fillId="0" borderId="0" applyFont="0" applyFill="0" applyBorder="0" applyAlignment="0" applyProtection="0"/>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4" fillId="0" borderId="38" applyBorder="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43" fontId="1" fillId="0" borderId="0" applyFont="0" applyFill="0" applyBorder="0" applyAlignment="0" applyProtection="0"/>
    <xf numFmtId="172" fontId="4" fillId="0" borderId="0" applyFont="0" applyFill="0" applyBorder="0" applyAlignment="0" applyProtection="0"/>
    <xf numFmtId="172" fontId="99" fillId="0" borderId="0" applyFont="0" applyFill="0" applyBorder="0" applyAlignment="0" applyProtection="0"/>
    <xf numFmtId="178" fontId="99" fillId="0" borderId="0" applyFont="0" applyFill="0" applyBorder="0" applyAlignment="0" applyProtection="0"/>
    <xf numFmtId="178" fontId="99" fillId="0" borderId="0" applyFont="0" applyFill="0" applyBorder="0" applyAlignment="0" applyProtection="0"/>
    <xf numFmtId="20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84" fillId="0" borderId="38" applyBorder="0">
      <alignment vertical="center"/>
    </xf>
    <xf numFmtId="40" fontId="4" fillId="0" borderId="38" applyBorder="0">
      <alignment vertical="center"/>
    </xf>
    <xf numFmtId="204" fontId="4" fillId="0" borderId="0" applyFill="0" applyBorder="0" applyAlignment="0" applyProtection="0"/>
    <xf numFmtId="0" fontId="101" fillId="99" borderId="0" applyNumberFormat="0" applyBorder="0" applyAlignment="0" applyProtection="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205" fontId="103" fillId="0" borderId="0"/>
    <xf numFmtId="0" fontId="4" fillId="0" borderId="0" applyNumberFormat="0" applyFill="0" applyBorder="0" applyAlignment="0" applyProtection="0"/>
    <xf numFmtId="0" fontId="1" fillId="0" borderId="0"/>
    <xf numFmtId="0" fontId="99" fillId="0" borderId="0"/>
    <xf numFmtId="0" fontId="4" fillId="0" borderId="0"/>
    <xf numFmtId="0" fontId="4" fillId="0" borderId="0"/>
    <xf numFmtId="0" fontId="65" fillId="0" borderId="0">
      <alignment vertical="top"/>
    </xf>
    <xf numFmtId="0" fontId="37" fillId="0" borderId="0"/>
    <xf numFmtId="0" fontId="3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alignment vertical="top"/>
    </xf>
    <xf numFmtId="0" fontId="65" fillId="0" borderId="0">
      <alignment vertical="top"/>
    </xf>
    <xf numFmtId="0" fontId="4" fillId="0" borderId="0"/>
    <xf numFmtId="0" fontId="1" fillId="0" borderId="0"/>
    <xf numFmtId="0" fontId="1" fillId="0" borderId="0"/>
    <xf numFmtId="0" fontId="66" fillId="0" borderId="0"/>
    <xf numFmtId="0" fontId="66" fillId="0" borderId="0"/>
    <xf numFmtId="0" fontId="66" fillId="0" borderId="0"/>
    <xf numFmtId="0" fontId="66" fillId="0" borderId="0"/>
    <xf numFmtId="0" fontId="1" fillId="0" borderId="0"/>
    <xf numFmtId="0" fontId="66" fillId="0" borderId="0"/>
    <xf numFmtId="0" fontId="66" fillId="0" borderId="0"/>
    <xf numFmtId="0" fontId="4" fillId="0" borderId="0" applyNumberFormat="0" applyFill="0" applyBorder="0" applyAlignment="0" applyProtection="0"/>
    <xf numFmtId="0" fontId="4" fillId="0" borderId="0"/>
    <xf numFmtId="0" fontId="59" fillId="91" borderId="61" applyNumberFormat="0" applyFont="0" applyAlignment="0" applyProtection="0"/>
    <xf numFmtId="0" fontId="100" fillId="25" borderId="33" applyNumberFormat="0" applyFont="0" applyAlignment="0" applyProtection="0"/>
    <xf numFmtId="0" fontId="66" fillId="91" borderId="61" applyNumberFormat="0" applyFont="0" applyAlignment="0" applyProtection="0"/>
    <xf numFmtId="0" fontId="66" fillId="91" borderId="61" applyNumberFormat="0" applyFont="0" applyAlignment="0" applyProtection="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182" fontId="58" fillId="0" borderId="0">
      <protection locked="0"/>
    </xf>
    <xf numFmtId="9" fontId="99" fillId="0" borderId="0" applyFont="0" applyFill="0" applyBorder="0" applyAlignment="0" applyProtection="0"/>
    <xf numFmtId="9" fontId="9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109" fillId="85" borderId="78" applyNumberFormat="0" applyAlignment="0" applyProtection="0"/>
    <xf numFmtId="0" fontId="110" fillId="84" borderId="79" applyNumberFormat="0" applyAlignment="0" applyProtection="0"/>
    <xf numFmtId="0" fontId="34" fillId="23" borderId="31" applyNumberFormat="0" applyAlignment="0" applyProtection="0"/>
    <xf numFmtId="209" fontId="4" fillId="0" borderId="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37" fontId="113" fillId="0" borderId="39" applyNumberFormat="0">
      <alignment horizontal="left"/>
      <protection locked="0" hidden="1"/>
    </xf>
    <xf numFmtId="0" fontId="114" fillId="0" borderId="0" applyNumberForma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0" borderId="0" applyNumberForma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34" applyNumberFormat="0" applyFill="0" applyAlignment="0" applyProtection="0"/>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117" fillId="0" borderId="81" applyNumberFormat="0" applyFont="0" applyFill="0" applyAlignment="0" applyProtection="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65" borderId="0" applyNumberFormat="0" applyBorder="0" applyAlignment="0" applyProtection="0"/>
    <xf numFmtId="0" fontId="59" fillId="66" borderId="0" applyNumberFormat="0" applyBorder="0" applyAlignment="0" applyProtection="0"/>
    <xf numFmtId="0" fontId="59" fillId="68" borderId="0" applyNumberFormat="0" applyBorder="0" applyAlignment="0" applyProtection="0"/>
    <xf numFmtId="0" fontId="59" fillId="69" borderId="0" applyNumberFormat="0" applyBorder="0" applyAlignment="0" applyProtection="0"/>
    <xf numFmtId="0" fontId="59" fillId="75" borderId="0" applyNumberFormat="0" applyBorder="0" applyAlignment="0" applyProtection="0"/>
    <xf numFmtId="0" fontId="59" fillId="73" borderId="0" applyNumberFormat="0" applyBorder="0" applyAlignment="0" applyProtection="0"/>
    <xf numFmtId="0" fontId="59" fillId="67" borderId="0" applyNumberFormat="0" applyBorder="0" applyAlignment="0" applyProtection="0"/>
    <xf numFmtId="0" fontId="59" fillId="75" borderId="0" applyNumberFormat="0" applyBorder="0" applyAlignment="0" applyProtection="0"/>
    <xf numFmtId="0" fontId="59" fillId="76" borderId="0" applyNumberFormat="0" applyBorder="0" applyAlignment="0" applyProtection="0"/>
    <xf numFmtId="0" fontId="67" fillId="79"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39" fontId="4" fillId="0" borderId="39" applyFill="0" applyBorder="0" applyAlignment="0">
      <alignment horizontal="center"/>
    </xf>
    <xf numFmtId="39" fontId="4" fillId="0" borderId="39" applyFill="0" applyBorder="0" applyAlignment="0">
      <alignment horizontal="center"/>
    </xf>
    <xf numFmtId="39" fontId="4" fillId="0" borderId="39" applyFill="0" applyBorder="0" applyAlignment="0">
      <alignment horizontal="center"/>
    </xf>
    <xf numFmtId="39" fontId="4" fillId="0" borderId="39" applyFill="0" applyBorder="0" applyAlignment="0">
      <alignment horizontal="center"/>
    </xf>
    <xf numFmtId="39" fontId="4" fillId="0" borderId="39" applyFill="0" applyBorder="0" applyAlignment="0">
      <alignment horizontal="center"/>
    </xf>
    <xf numFmtId="39" fontId="4" fillId="0" borderId="39" applyFill="0" applyBorder="0" applyAlignment="0">
      <alignment horizontal="center"/>
    </xf>
    <xf numFmtId="39" fontId="4" fillId="0" borderId="39" applyFill="0" applyBorder="0" applyAlignment="0">
      <alignment horizontal="center"/>
    </xf>
    <xf numFmtId="39" fontId="4" fillId="0" borderId="39" applyFill="0" applyBorder="0" applyAlignment="0">
      <alignment horizontal="center"/>
    </xf>
    <xf numFmtId="39" fontId="4" fillId="0" borderId="39" applyFill="0" applyBorder="0" applyAlignment="0">
      <alignment horizontal="center"/>
    </xf>
    <xf numFmtId="39" fontId="4" fillId="0" borderId="39" applyFill="0" applyBorder="0" applyAlignment="0">
      <alignment horizontal="center"/>
    </xf>
    <xf numFmtId="0" fontId="73" fillId="66" borderId="0" applyNumberFormat="0" applyBorder="0" applyAlignment="0" applyProtection="0"/>
    <xf numFmtId="0" fontId="73" fillId="66" borderId="0" applyNumberFormat="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85" borderId="55"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78" fillId="86" borderId="57" applyNumberFormat="0" applyAlignment="0" applyProtection="0"/>
    <xf numFmtId="0" fontId="79" fillId="0" borderId="58" applyNumberFormat="0" applyFill="0" applyAlignment="0" applyProtection="0"/>
    <xf numFmtId="0" fontId="79" fillId="0" borderId="58" applyNumberFormat="0" applyFill="0" applyAlignment="0" applyProtection="0"/>
    <xf numFmtId="0" fontId="3" fillId="101" borderId="42" applyFont="0" applyFill="0" applyBorder="0"/>
    <xf numFmtId="0" fontId="40" fillId="0" borderId="41"/>
    <xf numFmtId="0" fontId="121" fillId="0" borderId="35">
      <alignment horizontal="center"/>
    </xf>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58" fillId="0" borderId="0">
      <protection locked="0"/>
    </xf>
    <xf numFmtId="0" fontId="90" fillId="0" borderId="0">
      <protection locked="0"/>
    </xf>
    <xf numFmtId="0" fontId="90" fillId="0" borderId="0">
      <protection locked="0"/>
    </xf>
    <xf numFmtId="0" fontId="116" fillId="0" borderId="0" applyNumberFormat="0" applyFill="0" applyBorder="0" applyAlignment="0" applyProtection="0"/>
    <xf numFmtId="0" fontId="116" fillId="0" borderId="0" applyNumberFormat="0" applyFill="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77"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122" fillId="69" borderId="55" applyNumberFormat="0" applyAlignment="0" applyProtection="0"/>
    <xf numFmtId="0" fontId="122" fillId="69" borderId="55"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3" fillId="0" borderId="0" applyFont="0" applyFill="0" applyBorder="0" applyAlignment="0" applyProtection="0"/>
    <xf numFmtId="211" fontId="58" fillId="0" borderId="0">
      <protection locked="0"/>
    </xf>
    <xf numFmtId="4" fontId="58" fillId="0" borderId="0">
      <protection locked="0"/>
    </xf>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96" fillId="65" borderId="0" applyNumberFormat="0" applyBorder="0" applyAlignment="0" applyProtection="0"/>
    <xf numFmtId="3" fontId="124" fillId="102" borderId="36">
      <protection locked="0"/>
    </xf>
    <xf numFmtId="38" fontId="84" fillId="0" borderId="40">
      <alignment vertical="center"/>
    </xf>
    <xf numFmtId="38" fontId="84" fillId="0" borderId="40">
      <alignment vertical="center"/>
    </xf>
    <xf numFmtId="40" fontId="84" fillId="0" borderId="40">
      <alignment vertical="center"/>
    </xf>
    <xf numFmtId="40" fontId="84" fillId="0" borderId="40">
      <alignment vertical="center"/>
    </xf>
    <xf numFmtId="38" fontId="84" fillId="0" borderId="40">
      <alignment vertical="center"/>
    </xf>
    <xf numFmtId="38" fontId="84" fillId="0" borderId="40">
      <alignment vertical="center"/>
    </xf>
    <xf numFmtId="40" fontId="84" fillId="0" borderId="40">
      <alignment vertical="center"/>
    </xf>
    <xf numFmtId="40" fontId="84" fillId="0" borderId="40">
      <alignment vertical="center"/>
    </xf>
    <xf numFmtId="40" fontId="84" fillId="0" borderId="40">
      <alignment vertical="center"/>
    </xf>
    <xf numFmtId="40" fontId="84" fillId="0" borderId="40">
      <alignment vertical="center"/>
    </xf>
    <xf numFmtId="212" fontId="4" fillId="0" borderId="0" applyFont="0" applyFill="0" applyBorder="0" applyAlignment="0" applyProtection="0"/>
    <xf numFmtId="213" fontId="58" fillId="0" borderId="0">
      <protection locked="0"/>
    </xf>
    <xf numFmtId="214" fontId="123" fillId="0" borderId="0" applyFont="0" applyFill="0" applyBorder="0" applyAlignment="0" applyProtection="0"/>
    <xf numFmtId="0" fontId="101" fillId="99" borderId="0" applyNumberFormat="0" applyBorder="0" applyAlignment="0" applyProtection="0"/>
    <xf numFmtId="0" fontId="101" fillId="99" borderId="0" applyNumberFormat="0" applyBorder="0" applyAlignment="0" applyProtection="0"/>
    <xf numFmtId="215" fontId="4" fillId="0" borderId="0"/>
    <xf numFmtId="216" fontId="4" fillId="0" borderId="0"/>
    <xf numFmtId="217" fontId="4" fillId="0" borderId="0">
      <alignment horizontal="right"/>
    </xf>
    <xf numFmtId="0" fontId="59" fillId="91" borderId="61" applyNumberFormat="0" applyFont="0" applyAlignment="0" applyProtection="0"/>
    <xf numFmtId="0" fontId="59" fillId="91" borderId="61" applyNumberFormat="0" applyFont="0" applyAlignment="0" applyProtection="0"/>
    <xf numFmtId="0" fontId="59" fillId="91" borderId="61" applyNumberFormat="0" applyFont="0" applyAlignment="0" applyProtection="0"/>
    <xf numFmtId="0" fontId="59" fillId="91" borderId="61" applyNumberFormat="0" applyFont="0" applyAlignment="0" applyProtection="0"/>
    <xf numFmtId="0" fontId="59" fillId="91" borderId="61" applyNumberFormat="0" applyFont="0" applyAlignment="0" applyProtection="0"/>
    <xf numFmtId="0" fontId="59" fillId="91" borderId="61" applyNumberFormat="0" applyFont="0" applyAlignment="0" applyProtection="0"/>
    <xf numFmtId="0" fontId="59" fillId="91" borderId="61" applyNumberFormat="0" applyFont="0" applyAlignment="0" applyProtection="0"/>
    <xf numFmtId="0" fontId="59" fillId="91" borderId="61" applyNumberFormat="0" applyFont="0" applyAlignment="0" applyProtection="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81" fillId="0" borderId="37" applyBorder="0"/>
    <xf numFmtId="9" fontId="4" fillId="0" borderId="0" applyFont="0" applyFill="0" applyBorder="0" applyAlignment="0" applyProtection="0"/>
    <xf numFmtId="9" fontId="4" fillId="0" borderId="0" applyFont="0" applyFill="0" applyBorder="0" applyAlignment="0" applyProtection="0"/>
    <xf numFmtId="37" fontId="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104" fillId="0" borderId="39">
      <alignment horizontal="right"/>
      <protection locked="0" hidden="1"/>
    </xf>
    <xf numFmtId="37" fontId="4" fillId="0" borderId="39">
      <alignment horizontal="right"/>
      <protection locked="0" hidden="1"/>
    </xf>
    <xf numFmtId="37" fontId="4" fillId="0" borderId="39">
      <alignment horizontal="right"/>
      <protection locked="0" hidden="1"/>
    </xf>
    <xf numFmtId="37" fontId="4" fillId="0" borderId="39">
      <alignment horizontal="right"/>
      <protection locked="0" hidden="1"/>
    </xf>
    <xf numFmtId="37" fontId="4" fillId="0" borderId="39">
      <alignment horizontal="right"/>
      <protection locked="0" hidden="1"/>
    </xf>
    <xf numFmtId="37" fontId="4" fillId="0" borderId="39">
      <alignment horizontal="right"/>
      <protection locked="0" hidden="1"/>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3" fontId="123" fillId="0" borderId="0" applyFont="0" applyFill="0" applyBorder="0" applyAlignment="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109" fillId="85" borderId="78" applyNumberFormat="0" applyAlignment="0" applyProtection="0"/>
    <xf numFmtId="0" fontId="109" fillId="85" borderId="78" applyNumberFormat="0" applyAlignment="0" applyProtection="0"/>
    <xf numFmtId="172" fontId="4" fillId="0" borderId="0" applyFont="0" applyFill="0" applyBorder="0" applyAlignment="0" applyProtection="0"/>
    <xf numFmtId="0" fontId="125" fillId="0" borderId="82">
      <alignment horizontal="left"/>
    </xf>
    <xf numFmtId="37" fontId="4" fillId="0" borderId="39" applyNumberFormat="0">
      <alignment horizontal="left"/>
      <protection locked="0" hidden="1"/>
    </xf>
    <xf numFmtId="37" fontId="4" fillId="0" borderId="39" applyNumberFormat="0">
      <alignment horizontal="left"/>
      <protection locked="0" hidden="1"/>
    </xf>
    <xf numFmtId="37" fontId="4" fillId="0" borderId="39" applyNumberFormat="0">
      <alignment horizontal="left"/>
      <protection locked="0" hidden="1"/>
    </xf>
    <xf numFmtId="37" fontId="4" fillId="0" borderId="39" applyNumberFormat="0">
      <alignment horizontal="left"/>
      <protection locked="0" hidden="1"/>
    </xf>
    <xf numFmtId="37" fontId="4" fillId="0" borderId="39" applyNumberFormat="0">
      <alignment horizontal="left"/>
      <protection locked="0" hidden="1"/>
    </xf>
    <xf numFmtId="37" fontId="4" fillId="0" borderId="39" applyNumberFormat="0">
      <alignment horizontal="left"/>
      <protection locked="0" hidden="1"/>
    </xf>
    <xf numFmtId="0" fontId="114" fillId="0" borderId="0" applyNumberFormat="0" applyFill="0" applyBorder="0" applyAlignment="0" applyProtection="0"/>
    <xf numFmtId="0" fontId="114"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103" borderId="83" applyNumberFormat="0">
      <alignment horizontal="left"/>
    </xf>
    <xf numFmtId="0" fontId="128" fillId="0" borderId="84" applyNumberFormat="0" applyFill="0" applyAlignment="0" applyProtection="0"/>
    <xf numFmtId="0" fontId="128" fillId="0" borderId="84" applyNumberFormat="0" applyFill="0" applyAlignment="0" applyProtection="0"/>
    <xf numFmtId="0" fontId="129" fillId="0" borderId="85" applyNumberFormat="0" applyFill="0" applyAlignment="0" applyProtection="0"/>
    <xf numFmtId="0" fontId="129" fillId="0" borderId="85" applyNumberFormat="0" applyFill="0" applyAlignment="0" applyProtection="0"/>
    <xf numFmtId="0" fontId="116" fillId="0" borderId="86" applyNumberFormat="0" applyFill="0" applyAlignment="0" applyProtection="0"/>
    <xf numFmtId="0" fontId="116" fillId="0" borderId="86" applyNumberFormat="0" applyFill="0" applyAlignment="0" applyProtection="0"/>
    <xf numFmtId="0" fontId="60" fillId="0" borderId="87" applyNumberFormat="0" applyFill="0" applyAlignment="0" applyProtection="0"/>
    <xf numFmtId="0" fontId="60" fillId="0" borderId="87"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9" fontId="4" fillId="0" borderId="0" applyFont="0" applyFill="0" applyBorder="0" applyAlignment="0" applyProtection="0"/>
    <xf numFmtId="43"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131" fillId="0" borderId="0">
      <alignment horizontal="left" vertical="center" indent="1"/>
    </xf>
    <xf numFmtId="0" fontId="9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 fillId="0" borderId="0"/>
    <xf numFmtId="172" fontId="4" fillId="0" borderId="0" applyFont="0" applyFill="0" applyBorder="0" applyAlignment="0" applyProtection="0"/>
    <xf numFmtId="0" fontId="4" fillId="0" borderId="0"/>
    <xf numFmtId="0" fontId="4" fillId="0" borderId="0" applyNumberFormat="0" applyFill="0" applyBorder="0" applyAlignment="0" applyProtection="0"/>
    <xf numFmtId="179" fontId="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43" fontId="1" fillId="0" borderId="0" applyFont="0" applyFill="0" applyBorder="0" applyAlignment="0" applyProtection="0"/>
    <xf numFmtId="178" fontId="9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0" fontId="4" fillId="0" borderId="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64" fillId="70" borderId="0" applyNumberFormat="0" applyBorder="0" applyAlignment="0" applyProtection="0"/>
    <xf numFmtId="0" fontId="59" fillId="64" borderId="0" applyNumberFormat="0" applyBorder="0" applyAlignment="0" applyProtection="0"/>
    <xf numFmtId="0" fontId="1" fillId="27"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59" fillId="6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59" fillId="6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59" fillId="65" borderId="0" applyNumberFormat="0" applyBorder="0" applyAlignment="0" applyProtection="0"/>
    <xf numFmtId="0" fontId="1" fillId="30" borderId="0" applyNumberFormat="0" applyBorder="0" applyAlignment="0" applyProtection="0"/>
    <xf numFmtId="0" fontId="130" fillId="67" borderId="0" applyNumberFormat="0" applyBorder="0" applyAlignment="0" applyProtection="0"/>
    <xf numFmtId="0" fontId="1" fillId="30" borderId="0" applyNumberFormat="0" applyBorder="0" applyAlignment="0" applyProtection="0"/>
    <xf numFmtId="0" fontId="59" fillId="65"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59" fillId="65"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59" fillId="66" borderId="0" applyNumberFormat="0" applyBorder="0" applyAlignment="0" applyProtection="0"/>
    <xf numFmtId="0" fontId="59" fillId="66" borderId="0" applyNumberFormat="0" applyBorder="0" applyAlignment="0" applyProtection="0"/>
    <xf numFmtId="0" fontId="130" fillId="74" borderId="0" applyNumberFormat="0" applyBorder="0" applyAlignment="0" applyProtection="0"/>
    <xf numFmtId="0" fontId="100" fillId="71" borderId="0" applyNumberFormat="0" applyBorder="0" applyAlignment="0" applyProtection="0"/>
    <xf numFmtId="0" fontId="100" fillId="71" borderId="0" applyNumberFormat="0" applyBorder="0" applyAlignment="0" applyProtection="0"/>
    <xf numFmtId="0" fontId="64" fillId="71" borderId="0" applyNumberFormat="0" applyBorder="0" applyAlignment="0" applyProtection="0"/>
    <xf numFmtId="0" fontId="100" fillId="71" borderId="0" applyNumberFormat="0" applyBorder="0" applyAlignment="0" applyProtection="0"/>
    <xf numFmtId="0" fontId="64" fillId="71" borderId="0" applyNumberFormat="0" applyBorder="0" applyAlignment="0" applyProtection="0"/>
    <xf numFmtId="0" fontId="59" fillId="66" borderId="0" applyNumberFormat="0" applyBorder="0" applyAlignment="0" applyProtection="0"/>
    <xf numFmtId="0" fontId="64" fillId="71" borderId="0" applyNumberFormat="0" applyBorder="0" applyAlignment="0" applyProtection="0"/>
    <xf numFmtId="0" fontId="59" fillId="66" borderId="0" applyNumberFormat="0" applyBorder="0" applyAlignment="0" applyProtection="0"/>
    <xf numFmtId="0" fontId="1" fillId="33" borderId="0" applyNumberFormat="0" applyBorder="0" applyAlignment="0" applyProtection="0"/>
    <xf numFmtId="0" fontId="130" fillId="74" borderId="0" applyNumberFormat="0" applyBorder="0" applyAlignment="0" applyProtection="0"/>
    <xf numFmtId="0" fontId="1" fillId="33" borderId="0" applyNumberFormat="0" applyBorder="0" applyAlignment="0" applyProtection="0"/>
    <xf numFmtId="0" fontId="59" fillId="66"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59" fillId="66"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130" fillId="75" borderId="0" applyNumberFormat="0" applyBorder="0" applyAlignment="0" applyProtection="0"/>
    <xf numFmtId="0" fontId="100" fillId="72" borderId="0" applyNumberFormat="0" applyBorder="0" applyAlignment="0" applyProtection="0"/>
    <xf numFmtId="0" fontId="100" fillId="72" borderId="0" applyNumberFormat="0" applyBorder="0" applyAlignment="0" applyProtection="0"/>
    <xf numFmtId="0" fontId="64" fillId="72" borderId="0" applyNumberFormat="0" applyBorder="0" applyAlignment="0" applyProtection="0"/>
    <xf numFmtId="0" fontId="100" fillId="72" borderId="0" applyNumberFormat="0" applyBorder="0" applyAlignment="0" applyProtection="0"/>
    <xf numFmtId="0" fontId="64" fillId="72" borderId="0" applyNumberFormat="0" applyBorder="0" applyAlignment="0" applyProtection="0"/>
    <xf numFmtId="0" fontId="59" fillId="67" borderId="0" applyNumberFormat="0" applyBorder="0" applyAlignment="0" applyProtection="0"/>
    <xf numFmtId="0" fontId="64" fillId="72" borderId="0" applyNumberFormat="0" applyBorder="0" applyAlignment="0" applyProtection="0"/>
    <xf numFmtId="0" fontId="59" fillId="67" borderId="0" applyNumberFormat="0" applyBorder="0" applyAlignment="0" applyProtection="0"/>
    <xf numFmtId="0" fontId="1" fillId="36"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59" fillId="67"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59" fillId="67"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130" fillId="90"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64" fillId="73" borderId="0" applyNumberFormat="0" applyBorder="0" applyAlignment="0" applyProtection="0"/>
    <xf numFmtId="0" fontId="100" fillId="73" borderId="0" applyNumberFormat="0" applyBorder="0" applyAlignment="0" applyProtection="0"/>
    <xf numFmtId="0" fontId="64" fillId="73" borderId="0" applyNumberFormat="0" applyBorder="0" applyAlignment="0" applyProtection="0"/>
    <xf numFmtId="0" fontId="59" fillId="68" borderId="0" applyNumberFormat="0" applyBorder="0" applyAlignment="0" applyProtection="0"/>
    <xf numFmtId="0" fontId="64" fillId="73" borderId="0" applyNumberFormat="0" applyBorder="0" applyAlignment="0" applyProtection="0"/>
    <xf numFmtId="0" fontId="59" fillId="68" borderId="0" applyNumberFormat="0" applyBorder="0" applyAlignment="0" applyProtection="0"/>
    <xf numFmtId="0" fontId="1" fillId="39" borderId="0" applyNumberFormat="0" applyBorder="0" applyAlignment="0" applyProtection="0"/>
    <xf numFmtId="0" fontId="130" fillId="90" borderId="0" applyNumberFormat="0" applyBorder="0" applyAlignment="0" applyProtection="0"/>
    <xf numFmtId="0" fontId="1" fillId="39" borderId="0" applyNumberFormat="0" applyBorder="0" applyAlignment="0" applyProtection="0"/>
    <xf numFmtId="0" fontId="59" fillId="68"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59" fillId="68"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30" fillId="78"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64" fillId="74" borderId="0" applyNumberFormat="0" applyBorder="0" applyAlignment="0" applyProtection="0"/>
    <xf numFmtId="0" fontId="100" fillId="74" borderId="0" applyNumberFormat="0" applyBorder="0" applyAlignment="0" applyProtection="0"/>
    <xf numFmtId="0" fontId="64" fillId="74" borderId="0" applyNumberFormat="0" applyBorder="0" applyAlignment="0" applyProtection="0"/>
    <xf numFmtId="0" fontId="59" fillId="69" borderId="0" applyNumberFormat="0" applyBorder="0" applyAlignment="0" applyProtection="0"/>
    <xf numFmtId="0" fontId="64" fillId="74" borderId="0" applyNumberFormat="0" applyBorder="0" applyAlignment="0" applyProtection="0"/>
    <xf numFmtId="0" fontId="59" fillId="69" borderId="0" applyNumberFormat="0" applyBorder="0" applyAlignment="0" applyProtection="0"/>
    <xf numFmtId="0" fontId="1" fillId="41" borderId="0" applyNumberFormat="0" applyBorder="0" applyAlignment="0" applyProtection="0"/>
    <xf numFmtId="0" fontId="130" fillId="78" borderId="0" applyNumberFormat="0" applyBorder="0" applyAlignment="0" applyProtection="0"/>
    <xf numFmtId="0" fontId="1" fillId="41" borderId="0" applyNumberFormat="0" applyBorder="0" applyAlignment="0" applyProtection="0"/>
    <xf numFmtId="0" fontId="59" fillId="69"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59" fillId="69"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130" fillId="105"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64" fillId="70" borderId="0" applyNumberFormat="0" applyBorder="0" applyAlignment="0" applyProtection="0"/>
    <xf numFmtId="0" fontId="100" fillId="70" borderId="0" applyNumberFormat="0" applyBorder="0" applyAlignment="0" applyProtection="0"/>
    <xf numFmtId="0" fontId="64" fillId="70" borderId="0" applyNumberFormat="0" applyBorder="0" applyAlignment="0" applyProtection="0"/>
    <xf numFmtId="0" fontId="59" fillId="75" borderId="0" applyNumberFormat="0" applyBorder="0" applyAlignment="0" applyProtection="0"/>
    <xf numFmtId="0" fontId="64" fillId="70" borderId="0" applyNumberFormat="0" applyBorder="0" applyAlignment="0" applyProtection="0"/>
    <xf numFmtId="0" fontId="59" fillId="75" borderId="0" applyNumberFormat="0" applyBorder="0" applyAlignment="0" applyProtection="0"/>
    <xf numFmtId="0" fontId="1" fillId="28" borderId="0" applyNumberFormat="0" applyBorder="0" applyAlignment="0" applyProtection="0"/>
    <xf numFmtId="0" fontId="130" fillId="105" borderId="0" applyNumberFormat="0" applyBorder="0" applyAlignment="0" applyProtection="0"/>
    <xf numFmtId="0" fontId="1" fillId="28" borderId="0" applyNumberFormat="0" applyBorder="0" applyAlignment="0" applyProtection="0"/>
    <xf numFmtId="0" fontId="59" fillId="7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59" fillId="7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59" fillId="73" borderId="0" applyNumberFormat="0" applyBorder="0" applyAlignment="0" applyProtection="0"/>
    <xf numFmtId="0" fontId="1" fillId="31" borderId="0" applyNumberFormat="0" applyBorder="0" applyAlignment="0" applyProtection="0"/>
    <xf numFmtId="0" fontId="130" fillId="84" borderId="0" applyNumberFormat="0" applyBorder="0" applyAlignment="0" applyProtection="0"/>
    <xf numFmtId="0" fontId="1" fillId="31" borderId="0" applyNumberFormat="0" applyBorder="0" applyAlignment="0" applyProtection="0"/>
    <xf numFmtId="0" fontId="59" fillId="73"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59" fillId="73"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130" fillId="74" borderId="0" applyNumberFormat="0" applyBorder="0" applyAlignment="0" applyProtection="0"/>
    <xf numFmtId="0" fontId="64" fillId="77" borderId="0" applyNumberFormat="0" applyBorder="0" applyAlignment="0" applyProtection="0"/>
    <xf numFmtId="0" fontId="59" fillId="70" borderId="0" applyNumberFormat="0" applyBorder="0" applyAlignment="0" applyProtection="0"/>
    <xf numFmtId="0" fontId="64" fillId="77" borderId="0" applyNumberFormat="0" applyBorder="0" applyAlignment="0" applyProtection="0"/>
    <xf numFmtId="0" fontId="59" fillId="70" borderId="0" applyNumberFormat="0" applyBorder="0" applyAlignment="0" applyProtection="0"/>
    <xf numFmtId="0" fontId="1" fillId="34" borderId="0" applyNumberFormat="0" applyBorder="0" applyAlignment="0" applyProtection="0"/>
    <xf numFmtId="0" fontId="130" fillId="74" borderId="0" applyNumberFormat="0" applyBorder="0" applyAlignment="0" applyProtection="0"/>
    <xf numFmtId="0" fontId="59" fillId="70"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59" fillId="70"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130" fillId="106"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64" fillId="78" borderId="0" applyNumberFormat="0" applyBorder="0" applyAlignment="0" applyProtection="0"/>
    <xf numFmtId="0" fontId="100" fillId="78" borderId="0" applyNumberFormat="0" applyBorder="0" applyAlignment="0" applyProtection="0"/>
    <xf numFmtId="0" fontId="64" fillId="78" borderId="0" applyNumberFormat="0" applyBorder="0" applyAlignment="0" applyProtection="0"/>
    <xf numFmtId="0" fontId="59" fillId="67" borderId="0" applyNumberFormat="0" applyBorder="0" applyAlignment="0" applyProtection="0"/>
    <xf numFmtId="0" fontId="64" fillId="78" borderId="0" applyNumberFormat="0" applyBorder="0" applyAlignment="0" applyProtection="0"/>
    <xf numFmtId="0" fontId="59" fillId="67" borderId="0" applyNumberFormat="0" applyBorder="0" applyAlignment="0" applyProtection="0"/>
    <xf numFmtId="0" fontId="1" fillId="37" borderId="0" applyNumberFormat="0" applyBorder="0" applyAlignment="0" applyProtection="0"/>
    <xf numFmtId="0" fontId="130" fillId="106" borderId="0" applyNumberFormat="0" applyBorder="0" applyAlignment="0" applyProtection="0"/>
    <xf numFmtId="0" fontId="1" fillId="37" borderId="0" applyNumberFormat="0" applyBorder="0" applyAlignment="0" applyProtection="0"/>
    <xf numFmtId="0" fontId="59" fillId="67"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59" fillId="67"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130" fillId="107"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64" fillId="73" borderId="0" applyNumberFormat="0" applyBorder="0" applyAlignment="0" applyProtection="0"/>
    <xf numFmtId="0" fontId="100" fillId="73" borderId="0" applyNumberFormat="0" applyBorder="0" applyAlignment="0" applyProtection="0"/>
    <xf numFmtId="0" fontId="64" fillId="73" borderId="0" applyNumberFormat="0" applyBorder="0" applyAlignment="0" applyProtection="0"/>
    <xf numFmtId="0" fontId="59" fillId="75" borderId="0" applyNumberFormat="0" applyBorder="0" applyAlignment="0" applyProtection="0"/>
    <xf numFmtId="0" fontId="64" fillId="73" borderId="0" applyNumberFormat="0" applyBorder="0" applyAlignment="0" applyProtection="0"/>
    <xf numFmtId="0" fontId="59" fillId="75" borderId="0" applyNumberFormat="0" applyBorder="0" applyAlignment="0" applyProtection="0"/>
    <xf numFmtId="0" fontId="1" fillId="40" borderId="0" applyNumberFormat="0" applyBorder="0" applyAlignment="0" applyProtection="0"/>
    <xf numFmtId="0" fontId="130" fillId="107" borderId="0" applyNumberFormat="0" applyBorder="0" applyAlignment="0" applyProtection="0"/>
    <xf numFmtId="0" fontId="1" fillId="40" borderId="0" applyNumberFormat="0" applyBorder="0" applyAlignment="0" applyProtection="0"/>
    <xf numFmtId="0" fontId="59" fillId="75"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59" fillId="75"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59" fillId="76" borderId="0" applyNumberFormat="0" applyBorder="0" applyAlignment="0" applyProtection="0"/>
    <xf numFmtId="0" fontId="1" fillId="42" borderId="0" applyNumberFormat="0" applyBorder="0" applyAlignment="0" applyProtection="0"/>
    <xf numFmtId="0" fontId="130" fillId="85" borderId="0" applyNumberFormat="0" applyBorder="0" applyAlignment="0" applyProtection="0"/>
    <xf numFmtId="0" fontId="1" fillId="42" borderId="0" applyNumberFormat="0" applyBorder="0" applyAlignment="0" applyProtection="0"/>
    <xf numFmtId="0" fontId="59" fillId="7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59" fillId="7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132" fillId="105"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8" fillId="70" borderId="0" applyNumberFormat="0" applyBorder="0" applyAlignment="0" applyProtection="0"/>
    <xf numFmtId="0" fontId="67" fillId="70" borderId="0" applyNumberFormat="0" applyBorder="0" applyAlignment="0" applyProtection="0"/>
    <xf numFmtId="0" fontId="68" fillId="70" borderId="0" applyNumberFormat="0" applyBorder="0" applyAlignment="0" applyProtection="0"/>
    <xf numFmtId="0" fontId="67" fillId="79" borderId="0" applyNumberFormat="0" applyBorder="0" applyAlignment="0" applyProtection="0"/>
    <xf numFmtId="0" fontId="68" fillId="70" borderId="0" applyNumberFormat="0" applyBorder="0" applyAlignment="0" applyProtection="0"/>
    <xf numFmtId="0" fontId="67" fillId="79" borderId="0" applyNumberFormat="0" applyBorder="0" applyAlignment="0" applyProtection="0"/>
    <xf numFmtId="0" fontId="132" fillId="105" borderId="0" applyNumberFormat="0" applyBorder="0" applyAlignment="0" applyProtection="0"/>
    <xf numFmtId="0" fontId="67" fillId="79"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67" fillId="79"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67" fillId="73" borderId="0" applyNumberFormat="0" applyBorder="0" applyAlignment="0" applyProtection="0"/>
    <xf numFmtId="0" fontId="132" fillId="84" borderId="0" applyNumberFormat="0" applyBorder="0" applyAlignment="0" applyProtection="0"/>
    <xf numFmtId="0" fontId="67" fillId="73"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67" fillId="73"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132" fillId="88"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8" fillId="77" borderId="0" applyNumberFormat="0" applyBorder="0" applyAlignment="0" applyProtection="0"/>
    <xf numFmtId="0" fontId="67" fillId="77" borderId="0" applyNumberFormat="0" applyBorder="0" applyAlignment="0" applyProtection="0"/>
    <xf numFmtId="0" fontId="68" fillId="77" borderId="0" applyNumberFormat="0" applyBorder="0" applyAlignment="0" applyProtection="0"/>
    <xf numFmtId="0" fontId="67" fillId="70" borderId="0" applyNumberFormat="0" applyBorder="0" applyAlignment="0" applyProtection="0"/>
    <xf numFmtId="0" fontId="68" fillId="77" borderId="0" applyNumberFormat="0" applyBorder="0" applyAlignment="0" applyProtection="0"/>
    <xf numFmtId="0" fontId="67" fillId="70" borderId="0" applyNumberFormat="0" applyBorder="0" applyAlignment="0" applyProtection="0"/>
    <xf numFmtId="0" fontId="132" fillId="88" borderId="0" applyNumberFormat="0" applyBorder="0" applyAlignment="0" applyProtection="0"/>
    <xf numFmtId="0" fontId="67" fillId="70"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67" fillId="70"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67" fillId="80" borderId="0" applyNumberFormat="0" applyBorder="0" applyAlignment="0" applyProtection="0"/>
    <xf numFmtId="0" fontId="132" fillId="108" borderId="0" applyNumberFormat="0" applyBorder="0" applyAlignment="0" applyProtection="0"/>
    <xf numFmtId="0" fontId="67" fillId="80"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67" fillId="80"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67" fillId="81" borderId="0" applyNumberFormat="0" applyBorder="0" applyAlignment="0" applyProtection="0"/>
    <xf numFmtId="0" fontId="132" fillId="89" borderId="0" applyNumberFormat="0" applyBorder="0" applyAlignment="0" applyProtection="0"/>
    <xf numFmtId="0" fontId="67" fillId="81"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67" fillId="81"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67" fillId="82" borderId="0" applyNumberFormat="0" applyBorder="0" applyAlignment="0" applyProtection="0"/>
    <xf numFmtId="0" fontId="132" fillId="109" borderId="0" applyNumberFormat="0" applyBorder="0" applyAlignment="0" applyProtection="0"/>
    <xf numFmtId="0" fontId="67" fillId="82"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67" fillId="82"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73" fillId="66" borderId="0" applyNumberFormat="0" applyBorder="0" applyAlignment="0" applyProtection="0"/>
    <xf numFmtId="0" fontId="59" fillId="90" borderId="0" applyNumberFormat="0" applyBorder="0" applyAlignment="0" applyProtection="0"/>
    <xf numFmtId="0" fontId="73" fillId="66"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73" fillId="66"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109" fillId="77" borderId="89" applyNumberFormat="0" applyAlignment="0" applyProtection="0"/>
    <xf numFmtId="0" fontId="109" fillId="77" borderId="89" applyNumberFormat="0" applyAlignment="0" applyProtection="0"/>
    <xf numFmtId="0" fontId="109" fillId="77" borderId="89" applyNumberFormat="0" applyAlignment="0" applyProtection="0"/>
    <xf numFmtId="0" fontId="109" fillId="77" borderId="89" applyNumberFormat="0" applyAlignment="0" applyProtection="0"/>
    <xf numFmtId="0" fontId="109" fillId="77" borderId="89" applyNumberFormat="0" applyAlignment="0" applyProtection="0"/>
    <xf numFmtId="0" fontId="109" fillId="77" borderId="89" applyNumberFormat="0" applyAlignment="0" applyProtection="0"/>
    <xf numFmtId="0" fontId="109" fillId="77" borderId="89" applyNumberFormat="0" applyAlignment="0" applyProtection="0"/>
    <xf numFmtId="0" fontId="109" fillId="77" borderId="89" applyNumberFormat="0" applyAlignment="0" applyProtection="0"/>
    <xf numFmtId="0" fontId="109" fillId="77" borderId="89" applyNumberFormat="0" applyAlignment="0" applyProtection="0"/>
    <xf numFmtId="0" fontId="109" fillId="77" borderId="89" applyNumberFormat="0" applyAlignment="0" applyProtection="0"/>
    <xf numFmtId="0" fontId="120" fillId="85" borderId="55" applyNumberFormat="0" applyAlignment="0" applyProtection="0"/>
    <xf numFmtId="0" fontId="120" fillId="85" borderId="55" applyNumberFormat="0" applyAlignment="0" applyProtection="0"/>
    <xf numFmtId="0" fontId="109" fillId="77" borderId="89" applyNumberFormat="0" applyAlignment="0" applyProtection="0"/>
    <xf numFmtId="0" fontId="133" fillId="84" borderId="54" applyNumberFormat="0" applyAlignment="0" applyProtection="0"/>
    <xf numFmtId="0" fontId="133" fillId="84" borderId="54" applyNumberFormat="0" applyAlignment="0" applyProtection="0"/>
    <xf numFmtId="0" fontId="74" fillId="84" borderId="54" applyNumberFormat="0" applyAlignment="0" applyProtection="0"/>
    <xf numFmtId="0" fontId="133" fillId="84" borderId="54" applyNumberFormat="0" applyAlignment="0" applyProtection="0"/>
    <xf numFmtId="0" fontId="74" fillId="84" borderId="54" applyNumberFormat="0" applyAlignment="0" applyProtection="0"/>
    <xf numFmtId="0" fontId="120" fillId="85" borderId="55" applyNumberFormat="0" applyAlignment="0" applyProtection="0"/>
    <xf numFmtId="0" fontId="74" fillId="84" borderId="54" applyNumberFormat="0" applyAlignment="0" applyProtection="0"/>
    <xf numFmtId="0" fontId="120" fillId="85" borderId="55" applyNumberFormat="0" applyAlignment="0" applyProtection="0"/>
    <xf numFmtId="0" fontId="109" fillId="77" borderId="89" applyNumberFormat="0" applyAlignment="0" applyProtection="0"/>
    <xf numFmtId="0" fontId="120" fillId="85" borderId="55" applyNumberFormat="0" applyAlignment="0" applyProtection="0"/>
    <xf numFmtId="0" fontId="109" fillId="77" borderId="89" applyNumberFormat="0" applyAlignment="0" applyProtection="0"/>
    <xf numFmtId="0" fontId="109" fillId="77" borderId="89" applyNumberFormat="0" applyAlignment="0" applyProtection="0"/>
    <xf numFmtId="0" fontId="120" fillId="85" borderId="55" applyNumberFormat="0" applyAlignment="0" applyProtection="0"/>
    <xf numFmtId="0" fontId="109" fillId="77" borderId="89" applyNumberFormat="0" applyAlignment="0" applyProtection="0"/>
    <xf numFmtId="0" fontId="109" fillId="77" borderId="89" applyNumberFormat="0" applyAlignment="0" applyProtection="0"/>
    <xf numFmtId="0" fontId="109" fillId="77" borderId="89" applyNumberFormat="0" applyAlignment="0" applyProtection="0"/>
    <xf numFmtId="0" fontId="109" fillId="77" borderId="89" applyNumberFormat="0" applyAlignment="0" applyProtection="0"/>
    <xf numFmtId="0" fontId="109" fillId="77" borderId="89" applyNumberFormat="0" applyAlignment="0" applyProtection="0"/>
    <xf numFmtId="0" fontId="109" fillId="77" borderId="89" applyNumberFormat="0" applyAlignment="0" applyProtection="0"/>
    <xf numFmtId="0" fontId="109" fillId="77" borderId="89" applyNumberFormat="0" applyAlignment="0" applyProtection="0"/>
    <xf numFmtId="0" fontId="109" fillId="77" borderId="89" applyNumberFormat="0" applyAlignment="0" applyProtection="0"/>
    <xf numFmtId="0" fontId="109" fillId="77" borderId="89" applyNumberFormat="0" applyAlignment="0" applyProtection="0"/>
    <xf numFmtId="0" fontId="109" fillId="77" borderId="89" applyNumberFormat="0" applyAlignment="0" applyProtection="0"/>
    <xf numFmtId="0" fontId="134" fillId="108" borderId="90" applyNumberFormat="0" applyAlignment="0" applyProtection="0"/>
    <xf numFmtId="0" fontId="134" fillId="108" borderId="90" applyNumberFormat="0" applyAlignment="0" applyProtection="0"/>
    <xf numFmtId="0" fontId="134" fillId="108" borderId="90" applyNumberFormat="0" applyAlignment="0" applyProtection="0"/>
    <xf numFmtId="0" fontId="134" fillId="108" borderId="90" applyNumberFormat="0" applyAlignment="0" applyProtection="0"/>
    <xf numFmtId="0" fontId="134" fillId="108" borderId="90" applyNumberFormat="0" applyAlignment="0" applyProtection="0"/>
    <xf numFmtId="0" fontId="134" fillId="108" borderId="90" applyNumberFormat="0" applyAlignment="0" applyProtection="0"/>
    <xf numFmtId="0" fontId="134" fillId="108" borderId="90" applyNumberFormat="0" applyAlignment="0" applyProtection="0"/>
    <xf numFmtId="0" fontId="134" fillId="108" borderId="90" applyNumberFormat="0" applyAlignment="0" applyProtection="0"/>
    <xf numFmtId="0" fontId="134" fillId="108" borderId="90" applyNumberFormat="0" applyAlignment="0" applyProtection="0"/>
    <xf numFmtId="0" fontId="78" fillId="86" borderId="57" applyNumberFormat="0" applyAlignment="0" applyProtection="0"/>
    <xf numFmtId="0" fontId="78" fillId="86" borderId="57" applyNumberFormat="0" applyAlignment="0" applyProtection="0"/>
    <xf numFmtId="0" fontId="134" fillId="108" borderId="90" applyNumberFormat="0" applyAlignment="0" applyProtection="0"/>
    <xf numFmtId="0" fontId="78" fillId="72" borderId="56" applyNumberFormat="0" applyAlignment="0" applyProtection="0"/>
    <xf numFmtId="0" fontId="78" fillId="72" borderId="56" applyNumberFormat="0" applyAlignment="0" applyProtection="0"/>
    <xf numFmtId="0" fontId="76" fillId="72" borderId="56" applyNumberFormat="0" applyAlignment="0" applyProtection="0"/>
    <xf numFmtId="0" fontId="78" fillId="72" borderId="56" applyNumberFormat="0" applyAlignment="0" applyProtection="0"/>
    <xf numFmtId="0" fontId="76" fillId="72" borderId="56" applyNumberFormat="0" applyAlignment="0" applyProtection="0"/>
    <xf numFmtId="0" fontId="78" fillId="86" borderId="57" applyNumberFormat="0" applyAlignment="0" applyProtection="0"/>
    <xf numFmtId="0" fontId="76" fillId="72" borderId="56" applyNumberFormat="0" applyAlignment="0" applyProtection="0"/>
    <xf numFmtId="0" fontId="78" fillId="86" borderId="57" applyNumberFormat="0" applyAlignment="0" applyProtection="0"/>
    <xf numFmtId="0" fontId="134" fillId="108" borderId="90" applyNumberFormat="0" applyAlignment="0" applyProtection="0"/>
    <xf numFmtId="0" fontId="78" fillId="86" borderId="57" applyNumberFormat="0" applyAlignment="0" applyProtection="0"/>
    <xf numFmtId="0" fontId="134" fillId="108" borderId="90" applyNumberFormat="0" applyAlignment="0" applyProtection="0"/>
    <xf numFmtId="0" fontId="134" fillId="108" borderId="90" applyNumberFormat="0" applyAlignment="0" applyProtection="0"/>
    <xf numFmtId="0" fontId="78" fillId="86" borderId="57" applyNumberFormat="0" applyAlignment="0" applyProtection="0"/>
    <xf numFmtId="0" fontId="134" fillId="108" borderId="90" applyNumberFormat="0" applyAlignment="0" applyProtection="0"/>
    <xf numFmtId="0" fontId="134" fillId="108" borderId="90" applyNumberFormat="0" applyAlignment="0" applyProtection="0"/>
    <xf numFmtId="0" fontId="134" fillId="108" borderId="90" applyNumberFormat="0" applyAlignment="0" applyProtection="0"/>
    <xf numFmtId="0" fontId="134" fillId="108" borderId="90" applyNumberFormat="0" applyAlignment="0" applyProtection="0"/>
    <xf numFmtId="0" fontId="134" fillId="108" borderId="90" applyNumberFormat="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79" fillId="0" borderId="58" applyNumberFormat="0" applyFill="0" applyAlignment="0" applyProtection="0"/>
    <xf numFmtId="0" fontId="135" fillId="0" borderId="91" applyNumberFormat="0" applyFill="0" applyAlignment="0" applyProtection="0"/>
    <xf numFmtId="0" fontId="79" fillId="0" borderId="58"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79" fillId="0" borderId="58"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16" fillId="0" borderId="0" applyNumberFormat="0" applyFill="0" applyBorder="0" applyAlignment="0" applyProtection="0"/>
    <xf numFmtId="0" fontId="136" fillId="0" borderId="0" applyNumberFormat="0" applyFill="0" applyBorder="0" applyAlignment="0" applyProtection="0"/>
    <xf numFmtId="0" fontId="11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1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132" fillId="110"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8" fillId="82" borderId="0" applyNumberFormat="0" applyBorder="0" applyAlignment="0" applyProtection="0"/>
    <xf numFmtId="0" fontId="67" fillId="82" borderId="0" applyNumberFormat="0" applyBorder="0" applyAlignment="0" applyProtection="0"/>
    <xf numFmtId="0" fontId="68" fillId="82" borderId="0" applyNumberFormat="0" applyBorder="0" applyAlignment="0" applyProtection="0"/>
    <xf numFmtId="0" fontId="67" fillId="87" borderId="0" applyNumberFormat="0" applyBorder="0" applyAlignment="0" applyProtection="0"/>
    <xf numFmtId="0" fontId="68" fillId="82" borderId="0" applyNumberFormat="0" applyBorder="0" applyAlignment="0" applyProtection="0"/>
    <xf numFmtId="0" fontId="67" fillId="87"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67" fillId="87"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67" fillId="87"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67" fillId="88" borderId="0" applyNumberFormat="0" applyBorder="0" applyAlignment="0" applyProtection="0"/>
    <xf numFmtId="0" fontId="132" fillId="87" borderId="0" applyNumberFormat="0" applyBorder="0" applyAlignment="0" applyProtection="0"/>
    <xf numFmtId="0" fontId="67" fillId="88"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67" fillId="88"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132" fillId="88" borderId="0" applyNumberFormat="0" applyBorder="0" applyAlignment="0" applyProtection="0"/>
    <xf numFmtId="0" fontId="67" fillId="90" borderId="0" applyNumberFormat="0" applyBorder="0" applyAlignment="0" applyProtection="0"/>
    <xf numFmtId="0" fontId="67" fillId="90" borderId="0" applyNumberFormat="0" applyBorder="0" applyAlignment="0" applyProtection="0"/>
    <xf numFmtId="0" fontId="68" fillId="90" borderId="0" applyNumberFormat="0" applyBorder="0" applyAlignment="0" applyProtection="0"/>
    <xf numFmtId="0" fontId="67" fillId="90" borderId="0" applyNumberFormat="0" applyBorder="0" applyAlignment="0" applyProtection="0"/>
    <xf numFmtId="0" fontId="68" fillId="90" borderId="0" applyNumberFormat="0" applyBorder="0" applyAlignment="0" applyProtection="0"/>
    <xf numFmtId="0" fontId="67" fillId="77" borderId="0" applyNumberFormat="0" applyBorder="0" applyAlignment="0" applyProtection="0"/>
    <xf numFmtId="0" fontId="68" fillId="90" borderId="0" applyNumberFormat="0" applyBorder="0" applyAlignment="0" applyProtection="0"/>
    <xf numFmtId="0" fontId="67" fillId="77" borderId="0" applyNumberFormat="0" applyBorder="0" applyAlignment="0" applyProtection="0"/>
    <xf numFmtId="0" fontId="132" fillId="88" borderId="0" applyNumberFormat="0" applyBorder="0" applyAlignment="0" applyProtection="0"/>
    <xf numFmtId="0" fontId="67" fillId="77"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67" fillId="77"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67" fillId="80" borderId="0" applyNumberFormat="0" applyBorder="0" applyAlignment="0" applyProtection="0"/>
    <xf numFmtId="0" fontId="132" fillId="111" borderId="0" applyNumberFormat="0" applyBorder="0" applyAlignment="0" applyProtection="0"/>
    <xf numFmtId="0" fontId="67" fillId="80"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67" fillId="80"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132" fillId="110" borderId="0" applyNumberFormat="0" applyBorder="0" applyAlignment="0" applyProtection="0"/>
    <xf numFmtId="0" fontId="67" fillId="91" borderId="0" applyNumberFormat="0" applyBorder="0" applyAlignment="0" applyProtection="0"/>
    <xf numFmtId="0" fontId="67" fillId="91" borderId="0" applyNumberFormat="0" applyBorder="0" applyAlignment="0" applyProtection="0"/>
    <xf numFmtId="0" fontId="68" fillId="91" borderId="0" applyNumberFormat="0" applyBorder="0" applyAlignment="0" applyProtection="0"/>
    <xf numFmtId="0" fontId="67" fillId="91" borderId="0" applyNumberFormat="0" applyBorder="0" applyAlignment="0" applyProtection="0"/>
    <xf numFmtId="0" fontId="68" fillId="91" borderId="0" applyNumberFormat="0" applyBorder="0" applyAlignment="0" applyProtection="0"/>
    <xf numFmtId="0" fontId="67" fillId="81" borderId="0" applyNumberFormat="0" applyBorder="0" applyAlignment="0" applyProtection="0"/>
    <xf numFmtId="0" fontId="68" fillId="91" borderId="0" applyNumberFormat="0" applyBorder="0" applyAlignment="0" applyProtection="0"/>
    <xf numFmtId="0" fontId="67" fillId="81"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67" fillId="81"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67" fillId="81"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67" fillId="89" borderId="0" applyNumberFormat="0" applyBorder="0" applyAlignment="0" applyProtection="0"/>
    <xf numFmtId="0" fontId="132" fillId="112" borderId="0" applyNumberFormat="0" applyBorder="0" applyAlignment="0" applyProtection="0"/>
    <xf numFmtId="0" fontId="67" fillId="89"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67" fillId="89"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7" fillId="76" borderId="89" applyNumberFormat="0" applyAlignment="0" applyProtection="0"/>
    <xf numFmtId="0" fontId="137" fillId="76" borderId="89" applyNumberFormat="0" applyAlignment="0" applyProtection="0"/>
    <xf numFmtId="0" fontId="137" fillId="76" borderId="89" applyNumberFormat="0" applyAlignment="0" applyProtection="0"/>
    <xf numFmtId="0" fontId="137" fillId="76" borderId="89" applyNumberFormat="0" applyAlignment="0" applyProtection="0"/>
    <xf numFmtId="0" fontId="137" fillId="76" borderId="89" applyNumberFormat="0" applyAlignment="0" applyProtection="0"/>
    <xf numFmtId="0" fontId="137" fillId="76" borderId="89" applyNumberFormat="0" applyAlignment="0" applyProtection="0"/>
    <xf numFmtId="0" fontId="137" fillId="76" borderId="89" applyNumberFormat="0" applyAlignment="0" applyProtection="0"/>
    <xf numFmtId="0" fontId="137" fillId="76" borderId="89" applyNumberFormat="0" applyAlignment="0" applyProtection="0"/>
    <xf numFmtId="0" fontId="122" fillId="69" borderId="55" applyNumberFormat="0" applyAlignment="0" applyProtection="0"/>
    <xf numFmtId="0" fontId="122" fillId="69" borderId="55" applyNumberFormat="0" applyAlignment="0" applyProtection="0"/>
    <xf numFmtId="0" fontId="137" fillId="76" borderId="89" applyNumberFormat="0" applyAlignment="0" applyProtection="0"/>
    <xf numFmtId="0" fontId="137" fillId="76" borderId="89" applyNumberFormat="0" applyAlignment="0" applyProtection="0"/>
    <xf numFmtId="0" fontId="137" fillId="76" borderId="89" applyNumberFormat="0" applyAlignment="0" applyProtection="0"/>
    <xf numFmtId="0" fontId="122" fillId="69" borderId="55" applyNumberFormat="0" applyAlignment="0" applyProtection="0"/>
    <xf numFmtId="0" fontId="137" fillId="76" borderId="89" applyNumberFormat="0" applyAlignment="0" applyProtection="0"/>
    <xf numFmtId="0" fontId="122" fillId="69" borderId="55" applyNumberFormat="0" applyAlignment="0" applyProtection="0"/>
    <xf numFmtId="0" fontId="137" fillId="76" borderId="89" applyNumberFormat="0" applyAlignment="0" applyProtection="0"/>
    <xf numFmtId="0" fontId="137" fillId="76" borderId="89" applyNumberFormat="0" applyAlignment="0" applyProtection="0"/>
    <xf numFmtId="0" fontId="122" fillId="69" borderId="55" applyNumberFormat="0" applyAlignment="0" applyProtection="0"/>
    <xf numFmtId="0" fontId="137" fillId="76" borderId="89" applyNumberFormat="0" applyAlignment="0" applyProtection="0"/>
    <xf numFmtId="0" fontId="137" fillId="76" borderId="89" applyNumberFormat="0" applyAlignment="0" applyProtection="0"/>
    <xf numFmtId="0" fontId="137" fillId="76" borderId="89" applyNumberFormat="0" applyAlignment="0" applyProtection="0"/>
    <xf numFmtId="0" fontId="137" fillId="76" borderId="89" applyNumberFormat="0" applyAlignment="0" applyProtection="0"/>
    <xf numFmtId="0" fontId="137" fillId="76" borderId="8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100" borderId="0" applyFont="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59" fillId="113"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94" fillId="97" borderId="0" applyNumberFormat="0" applyBorder="0" applyAlignment="0" applyProtection="0"/>
    <xf numFmtId="0" fontId="138" fillId="97" borderId="0" applyNumberFormat="0" applyBorder="0" applyAlignment="0" applyProtection="0"/>
    <xf numFmtId="0" fontId="94" fillId="97" borderId="0" applyNumberFormat="0" applyBorder="0" applyAlignment="0" applyProtection="0"/>
    <xf numFmtId="0" fontId="96" fillId="65" borderId="0" applyNumberFormat="0" applyBorder="0" applyAlignment="0" applyProtection="0"/>
    <xf numFmtId="0" fontId="94" fillId="97" borderId="0" applyNumberFormat="0" applyBorder="0" applyAlignment="0" applyProtection="0"/>
    <xf numFmtId="0" fontId="96" fillId="65" borderId="0" applyNumberFormat="0" applyBorder="0" applyAlignment="0" applyProtection="0"/>
    <xf numFmtId="0" fontId="59" fillId="113" borderId="0" applyNumberFormat="0" applyBorder="0" applyAlignment="0" applyProtection="0"/>
    <xf numFmtId="0" fontId="96" fillId="65"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96" fillId="65"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20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8" fontId="99" fillId="0" borderId="0" applyFont="0" applyFill="0" applyBorder="0" applyAlignment="0" applyProtection="0"/>
    <xf numFmtId="178" fontId="99" fillId="0" borderId="0" applyFont="0" applyFill="0" applyBorder="0" applyAlignment="0" applyProtection="0"/>
    <xf numFmtId="172" fontId="99" fillId="0" borderId="0" applyFont="0" applyFill="0" applyBorder="0" applyAlignment="0" applyProtection="0"/>
    <xf numFmtId="178" fontId="99" fillId="0" borderId="0" applyFont="0" applyFill="0" applyBorder="0" applyAlignment="0" applyProtection="0"/>
    <xf numFmtId="172" fontId="99" fillId="0" borderId="0" applyFont="0" applyFill="0" applyBorder="0" applyAlignment="0" applyProtection="0"/>
    <xf numFmtId="43" fontId="4" fillId="0" borderId="0" applyFont="0" applyFill="0" applyBorder="0" applyAlignment="0" applyProtection="0"/>
    <xf numFmtId="172" fontId="99"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NumberFormat="0" applyFont="0" applyFill="0" applyBorder="0" applyAlignment="0" applyProtection="0"/>
    <xf numFmtId="204" fontId="4" fillId="0" borderId="0" applyFill="0" applyBorder="0" applyAlignment="0" applyProtection="0"/>
    <xf numFmtId="183" fontId="1"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83" fontId="1" fillId="0" borderId="0" applyFont="0" applyFill="0" applyBorder="0" applyAlignment="0" applyProtection="0"/>
    <xf numFmtId="183" fontId="4"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4" fillId="0" borderId="0" applyFont="0" applyFill="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01" fillId="99" borderId="0" applyNumberFormat="0" applyBorder="0" applyAlignment="0" applyProtection="0"/>
    <xf numFmtId="0" fontId="101" fillId="99"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01" fillId="99" borderId="0" applyNumberFormat="0" applyBorder="0" applyAlignment="0" applyProtection="0"/>
    <xf numFmtId="0" fontId="139" fillId="22" borderId="0" applyNumberFormat="0" applyBorder="0" applyAlignment="0" applyProtection="0"/>
    <xf numFmtId="0" fontId="101" fillId="99"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01" fillId="99"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65" fillId="0" borderId="0">
      <alignment vertical="top"/>
    </xf>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4" fillId="0" borderId="0"/>
    <xf numFmtId="0" fontId="65" fillId="0" borderId="0">
      <alignment vertical="top"/>
    </xf>
    <xf numFmtId="0" fontId="65" fillId="0" borderId="0">
      <alignment vertical="top"/>
    </xf>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65" fillId="0" borderId="0">
      <alignment vertical="top"/>
    </xf>
    <xf numFmtId="0" fontId="65" fillId="0" borderId="0">
      <alignment vertical="top"/>
    </xf>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5" fillId="0" borderId="0">
      <alignment vertical="top"/>
    </xf>
    <xf numFmtId="0" fontId="4" fillId="0" borderId="0"/>
    <xf numFmtId="0" fontId="4" fillId="0" borderId="0"/>
    <xf numFmtId="0" fontId="4" fillId="0" borderId="0"/>
    <xf numFmtId="0" fontId="65" fillId="0" borderId="0">
      <alignment vertical="top"/>
    </xf>
    <xf numFmtId="0" fontId="4" fillId="0" borderId="0"/>
    <xf numFmtId="0" fontId="4" fillId="0" borderId="0"/>
    <xf numFmtId="0" fontId="1" fillId="0" borderId="0"/>
    <xf numFmtId="0" fontId="4" fillId="0" borderId="0"/>
    <xf numFmtId="0" fontId="4" fillId="0" borderId="0"/>
    <xf numFmtId="0" fontId="4"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4" fillId="0" borderId="0"/>
    <xf numFmtId="0" fontId="4" fillId="0" borderId="0"/>
    <xf numFmtId="0" fontId="4" fillId="0" borderId="0"/>
    <xf numFmtId="0" fontId="4" fillId="0" borderId="0"/>
    <xf numFmtId="0" fontId="100" fillId="0" borderId="0"/>
    <xf numFmtId="0" fontId="4" fillId="0" borderId="0" applyNumberFormat="0" applyFont="0" applyFill="0" applyBorder="0" applyAlignment="0" applyProtection="0"/>
    <xf numFmtId="0" fontId="100" fillId="0" borderId="0"/>
    <xf numFmtId="0" fontId="65"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lignment vertical="top"/>
    </xf>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00" fillId="111" borderId="54"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00" fillId="111" borderId="54" applyNumberFormat="0" applyFont="0" applyAlignment="0" applyProtection="0"/>
    <xf numFmtId="0" fontId="100" fillId="111" borderId="54" applyNumberFormat="0" applyFont="0" applyAlignment="0" applyProtection="0"/>
    <xf numFmtId="0" fontId="1" fillId="25" borderId="33" applyNumberFormat="0" applyFont="0" applyAlignment="0" applyProtection="0"/>
    <xf numFmtId="0" fontId="4" fillId="91" borderId="61"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00" fillId="111" borderId="54"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00" fillId="111" borderId="54"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 fillId="25" borderId="33" applyNumberFormat="0" applyFont="0" applyAlignment="0" applyProtection="0"/>
    <xf numFmtId="0" fontId="1" fillId="25" borderId="33"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130" fillId="66" borderId="88" applyNumberFormat="0" applyFont="0" applyAlignment="0" applyProtection="0"/>
    <xf numFmtId="0" fontId="4" fillId="91" borderId="61" applyNumberFormat="0" applyFont="0" applyAlignment="0" applyProtection="0"/>
    <xf numFmtId="0" fontId="1" fillId="25" borderId="33" applyNumberFormat="0" applyFont="0" applyAlignment="0" applyProtection="0"/>
    <xf numFmtId="0" fontId="4" fillId="91" borderId="61" applyNumberFormat="0" applyFont="0" applyAlignment="0" applyProtection="0"/>
    <xf numFmtId="0" fontId="1" fillId="25" borderId="33"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4" fillId="0" borderId="0" applyFont="0" applyFill="0" applyBorder="0" applyAlignment="0" applyProtection="0"/>
    <xf numFmtId="9" fontId="99"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140" fillId="77" borderId="92" applyNumberFormat="0" applyAlignment="0" applyProtection="0"/>
    <xf numFmtId="0" fontId="140" fillId="77" borderId="92" applyNumberFormat="0" applyAlignment="0" applyProtection="0"/>
    <xf numFmtId="0" fontId="140" fillId="77" borderId="92" applyNumberFormat="0" applyAlignment="0" applyProtection="0"/>
    <xf numFmtId="0" fontId="140" fillId="77" borderId="92" applyNumberFormat="0" applyAlignment="0" applyProtection="0"/>
    <xf numFmtId="0" fontId="140" fillId="77" borderId="92" applyNumberFormat="0" applyAlignment="0" applyProtection="0"/>
    <xf numFmtId="0" fontId="140" fillId="77" borderId="92" applyNumberFormat="0" applyAlignment="0" applyProtection="0"/>
    <xf numFmtId="0" fontId="140" fillId="77" borderId="92" applyNumberFormat="0" applyAlignment="0" applyProtection="0"/>
    <xf numFmtId="0" fontId="140" fillId="77" borderId="92" applyNumberFormat="0" applyAlignment="0" applyProtection="0"/>
    <xf numFmtId="0" fontId="140" fillId="77" borderId="92" applyNumberFormat="0" applyAlignment="0" applyProtection="0"/>
    <xf numFmtId="0" fontId="109" fillId="85" borderId="78" applyNumberFormat="0" applyAlignment="0" applyProtection="0"/>
    <xf numFmtId="0" fontId="109" fillId="85" borderId="78" applyNumberFormat="0" applyAlignment="0" applyProtection="0"/>
    <xf numFmtId="0" fontId="140" fillId="77" borderId="92" applyNumberFormat="0" applyAlignment="0" applyProtection="0"/>
    <xf numFmtId="0" fontId="141" fillId="84" borderId="79" applyNumberFormat="0" applyAlignment="0" applyProtection="0"/>
    <xf numFmtId="0" fontId="141" fillId="84" borderId="79" applyNumberFormat="0" applyAlignment="0" applyProtection="0"/>
    <xf numFmtId="0" fontId="110" fillId="84" borderId="79" applyNumberFormat="0" applyAlignment="0" applyProtection="0"/>
    <xf numFmtId="0" fontId="141" fillId="84" borderId="79" applyNumberFormat="0" applyAlignment="0" applyProtection="0"/>
    <xf numFmtId="0" fontId="110" fillId="84" borderId="79" applyNumberFormat="0" applyAlignment="0" applyProtection="0"/>
    <xf numFmtId="0" fontId="109" fillId="85" borderId="78" applyNumberFormat="0" applyAlignment="0" applyProtection="0"/>
    <xf numFmtId="0" fontId="110" fillId="84" borderId="79" applyNumberFormat="0" applyAlignment="0" applyProtection="0"/>
    <xf numFmtId="0" fontId="109" fillId="85" borderId="78" applyNumberFormat="0" applyAlignment="0" applyProtection="0"/>
    <xf numFmtId="0" fontId="140" fillId="77" borderId="92" applyNumberFormat="0" applyAlignment="0" applyProtection="0"/>
    <xf numFmtId="0" fontId="109" fillId="85" borderId="78" applyNumberFormat="0" applyAlignment="0" applyProtection="0"/>
    <xf numFmtId="0" fontId="140" fillId="77" borderId="92" applyNumberFormat="0" applyAlignment="0" applyProtection="0"/>
    <xf numFmtId="0" fontId="140" fillId="77" borderId="92" applyNumberFormat="0" applyAlignment="0" applyProtection="0"/>
    <xf numFmtId="0" fontId="109" fillId="85" borderId="78" applyNumberFormat="0" applyAlignment="0" applyProtection="0"/>
    <xf numFmtId="0" fontId="140" fillId="77" borderId="92" applyNumberFormat="0" applyAlignment="0" applyProtection="0"/>
    <xf numFmtId="0" fontId="140" fillId="77" borderId="92" applyNumberFormat="0" applyAlignment="0" applyProtection="0"/>
    <xf numFmtId="0" fontId="140" fillId="77" borderId="92" applyNumberFormat="0" applyAlignment="0" applyProtection="0"/>
    <xf numFmtId="0" fontId="140" fillId="77" borderId="92" applyNumberFormat="0" applyAlignment="0" applyProtection="0"/>
    <xf numFmtId="0" fontId="140" fillId="77" borderId="92" applyNumberFormat="0" applyAlignment="0" applyProtection="0"/>
    <xf numFmtId="209" fontId="4" fillId="0" borderId="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4" fillId="0" borderId="0" applyNumberFormat="0" applyFill="0" applyBorder="0" applyAlignment="0" applyProtection="0"/>
    <xf numFmtId="0" fontId="122" fillId="0" borderId="0" applyNumberFormat="0" applyFill="0" applyBorder="0" applyAlignment="0" applyProtection="0"/>
    <xf numFmtId="0" fontId="11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26" fillId="0" borderId="0" applyNumberFormat="0" applyFill="0" applyBorder="0" applyAlignment="0" applyProtection="0"/>
    <xf numFmtId="0" fontId="142" fillId="0" borderId="0" applyNumberFormat="0" applyFill="0" applyBorder="0" applyAlignment="0" applyProtection="0"/>
    <xf numFmtId="0" fontId="126"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26"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93" applyNumberFormat="0" applyFill="0" applyAlignment="0" applyProtection="0"/>
    <xf numFmtId="0" fontId="143" fillId="0" borderId="93" applyNumberFormat="0" applyFill="0" applyAlignment="0" applyProtection="0"/>
    <xf numFmtId="0" fontId="143" fillId="0" borderId="93" applyNumberFormat="0" applyFill="0" applyAlignment="0" applyProtection="0"/>
    <xf numFmtId="0" fontId="143" fillId="0" borderId="93" applyNumberFormat="0" applyFill="0" applyAlignment="0" applyProtection="0"/>
    <xf numFmtId="0" fontId="143" fillId="0" borderId="93" applyNumberFormat="0" applyFill="0" applyAlignment="0" applyProtection="0"/>
    <xf numFmtId="0" fontId="143" fillId="0" borderId="93" applyNumberFormat="0" applyFill="0" applyAlignment="0" applyProtection="0"/>
    <xf numFmtId="0" fontId="143" fillId="0" borderId="93" applyNumberFormat="0" applyFill="0" applyAlignment="0" applyProtection="0"/>
    <xf numFmtId="0" fontId="143" fillId="0" borderId="93" applyNumberFormat="0" applyFill="0" applyAlignment="0" applyProtection="0"/>
    <xf numFmtId="0" fontId="128" fillId="0" borderId="84" applyNumberFormat="0" applyFill="0" applyAlignment="0" applyProtection="0"/>
    <xf numFmtId="0" fontId="128" fillId="0" borderId="84" applyNumberFormat="0" applyFill="0" applyAlignment="0" applyProtection="0"/>
    <xf numFmtId="0" fontId="143" fillId="0" borderId="93" applyNumberFormat="0" applyFill="0" applyAlignment="0" applyProtection="0"/>
    <xf numFmtId="0" fontId="143" fillId="0" borderId="93" applyNumberFormat="0" applyFill="0" applyAlignment="0" applyProtection="0"/>
    <xf numFmtId="0" fontId="143" fillId="0" borderId="93" applyNumberFormat="0" applyFill="0" applyAlignment="0" applyProtection="0"/>
    <xf numFmtId="0" fontId="128" fillId="0" borderId="84" applyNumberFormat="0" applyFill="0" applyAlignment="0" applyProtection="0"/>
    <xf numFmtId="0" fontId="143" fillId="0" borderId="93" applyNumberFormat="0" applyFill="0" applyAlignment="0" applyProtection="0"/>
    <xf numFmtId="0" fontId="128" fillId="0" borderId="84" applyNumberFormat="0" applyFill="0" applyAlignment="0" applyProtection="0"/>
    <xf numFmtId="0" fontId="143" fillId="0" borderId="93" applyNumberFormat="0" applyFill="0" applyAlignment="0" applyProtection="0"/>
    <xf numFmtId="0" fontId="143" fillId="0" borderId="93" applyNumberFormat="0" applyFill="0" applyAlignment="0" applyProtection="0"/>
    <xf numFmtId="0" fontId="128" fillId="0" borderId="84" applyNumberFormat="0" applyFill="0" applyAlignment="0" applyProtection="0"/>
    <xf numFmtId="0" fontId="143" fillId="0" borderId="93" applyNumberFormat="0" applyFill="0" applyAlignment="0" applyProtection="0"/>
    <xf numFmtId="0" fontId="143" fillId="0" borderId="93" applyNumberFormat="0" applyFill="0" applyAlignment="0" applyProtection="0"/>
    <xf numFmtId="0" fontId="143" fillId="0" borderId="93" applyNumberFormat="0" applyFill="0" applyAlignment="0" applyProtection="0"/>
    <xf numFmtId="0" fontId="143" fillId="0" borderId="93" applyNumberFormat="0" applyFill="0" applyAlignment="0" applyProtection="0"/>
    <xf numFmtId="0" fontId="143" fillId="0" borderId="93" applyNumberFormat="0" applyFill="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6" fillId="0" borderId="94" applyNumberFormat="0" applyFill="0" applyAlignment="0" applyProtection="0"/>
    <xf numFmtId="0" fontId="146" fillId="0" borderId="94" applyNumberFormat="0" applyFill="0" applyAlignment="0" applyProtection="0"/>
    <xf numFmtId="0" fontId="146" fillId="0" borderId="94" applyNumberFormat="0" applyFill="0" applyAlignment="0" applyProtection="0"/>
    <xf numFmtId="0" fontId="146" fillId="0" borderId="94" applyNumberFormat="0" applyFill="0" applyAlignment="0" applyProtection="0"/>
    <xf numFmtId="0" fontId="146" fillId="0" borderId="94" applyNumberFormat="0" applyFill="0" applyAlignment="0" applyProtection="0"/>
    <xf numFmtId="0" fontId="146" fillId="0" borderId="94" applyNumberFormat="0" applyFill="0" applyAlignment="0" applyProtection="0"/>
    <xf numFmtId="0" fontId="146" fillId="0" borderId="94" applyNumberFormat="0" applyFill="0" applyAlignment="0" applyProtection="0"/>
    <xf numFmtId="0" fontId="146" fillId="0" borderId="94" applyNumberFormat="0" applyFill="0" applyAlignment="0" applyProtection="0"/>
    <xf numFmtId="0" fontId="129" fillId="0" borderId="85" applyNumberFormat="0" applyFill="0" applyAlignment="0" applyProtection="0"/>
    <xf numFmtId="0" fontId="129" fillId="0" borderId="85" applyNumberFormat="0" applyFill="0" applyAlignment="0" applyProtection="0"/>
    <xf numFmtId="0" fontId="146" fillId="0" borderId="94" applyNumberFormat="0" applyFill="0" applyAlignment="0" applyProtection="0"/>
    <xf numFmtId="0" fontId="146" fillId="0" borderId="94" applyNumberFormat="0" applyFill="0" applyAlignment="0" applyProtection="0"/>
    <xf numFmtId="0" fontId="146" fillId="0" borderId="94" applyNumberFormat="0" applyFill="0" applyAlignment="0" applyProtection="0"/>
    <xf numFmtId="0" fontId="129" fillId="0" borderId="85" applyNumberFormat="0" applyFill="0" applyAlignment="0" applyProtection="0"/>
    <xf numFmtId="0" fontId="146" fillId="0" borderId="94" applyNumberFormat="0" applyFill="0" applyAlignment="0" applyProtection="0"/>
    <xf numFmtId="0" fontId="129" fillId="0" borderId="85" applyNumberFormat="0" applyFill="0" applyAlignment="0" applyProtection="0"/>
    <xf numFmtId="0" fontId="146" fillId="0" borderId="94" applyNumberFormat="0" applyFill="0" applyAlignment="0" applyProtection="0"/>
    <xf numFmtId="0" fontId="146" fillId="0" borderId="94" applyNumberFormat="0" applyFill="0" applyAlignment="0" applyProtection="0"/>
    <xf numFmtId="0" fontId="129" fillId="0" borderId="85" applyNumberFormat="0" applyFill="0" applyAlignment="0" applyProtection="0"/>
    <xf numFmtId="0" fontId="146" fillId="0" borderId="94" applyNumberFormat="0" applyFill="0" applyAlignment="0" applyProtection="0"/>
    <xf numFmtId="0" fontId="146" fillId="0" borderId="94" applyNumberFormat="0" applyFill="0" applyAlignment="0" applyProtection="0"/>
    <xf numFmtId="0" fontId="146" fillId="0" borderId="94" applyNumberFormat="0" applyFill="0" applyAlignment="0" applyProtection="0"/>
    <xf numFmtId="0" fontId="146" fillId="0" borderId="94" applyNumberFormat="0" applyFill="0" applyAlignment="0" applyProtection="0"/>
    <xf numFmtId="0" fontId="146" fillId="0" borderId="94" applyNumberFormat="0" applyFill="0" applyAlignment="0" applyProtection="0"/>
    <xf numFmtId="0" fontId="136" fillId="0" borderId="95" applyNumberFormat="0" applyFill="0" applyAlignment="0" applyProtection="0"/>
    <xf numFmtId="0" fontId="136" fillId="0" borderId="95" applyNumberFormat="0" applyFill="0" applyAlignment="0" applyProtection="0"/>
    <xf numFmtId="0" fontId="136" fillId="0" borderId="95" applyNumberFormat="0" applyFill="0" applyAlignment="0" applyProtection="0"/>
    <xf numFmtId="0" fontId="136" fillId="0" borderId="95" applyNumberFormat="0" applyFill="0" applyAlignment="0" applyProtection="0"/>
    <xf numFmtId="0" fontId="136" fillId="0" borderId="95" applyNumberFormat="0" applyFill="0" applyAlignment="0" applyProtection="0"/>
    <xf numFmtId="0" fontId="136" fillId="0" borderId="95" applyNumberFormat="0" applyFill="0" applyAlignment="0" applyProtection="0"/>
    <xf numFmtId="0" fontId="136" fillId="0" borderId="95" applyNumberFormat="0" applyFill="0" applyAlignment="0" applyProtection="0"/>
    <xf numFmtId="0" fontId="136" fillId="0" borderId="95" applyNumberFormat="0" applyFill="0" applyAlignment="0" applyProtection="0"/>
    <xf numFmtId="0" fontId="116" fillId="0" borderId="86" applyNumberFormat="0" applyFill="0" applyAlignment="0" applyProtection="0"/>
    <xf numFmtId="0" fontId="116" fillId="0" borderId="86" applyNumberFormat="0" applyFill="0" applyAlignment="0" applyProtection="0"/>
    <xf numFmtId="0" fontId="136" fillId="0" borderId="95" applyNumberFormat="0" applyFill="0" applyAlignment="0" applyProtection="0"/>
    <xf numFmtId="0" fontId="136" fillId="0" borderId="95" applyNumberFormat="0" applyFill="0" applyAlignment="0" applyProtection="0"/>
    <xf numFmtId="0" fontId="136" fillId="0" borderId="95" applyNumberFormat="0" applyFill="0" applyAlignment="0" applyProtection="0"/>
    <xf numFmtId="0" fontId="116" fillId="0" borderId="86" applyNumberFormat="0" applyFill="0" applyAlignment="0" applyProtection="0"/>
    <xf numFmtId="0" fontId="136" fillId="0" borderId="95" applyNumberFormat="0" applyFill="0" applyAlignment="0" applyProtection="0"/>
    <xf numFmtId="0" fontId="116" fillId="0" borderId="86" applyNumberFormat="0" applyFill="0" applyAlignment="0" applyProtection="0"/>
    <xf numFmtId="0" fontId="136" fillId="0" borderId="95" applyNumberFormat="0" applyFill="0" applyAlignment="0" applyProtection="0"/>
    <xf numFmtId="0" fontId="136" fillId="0" borderId="95" applyNumberFormat="0" applyFill="0" applyAlignment="0" applyProtection="0"/>
    <xf numFmtId="0" fontId="116" fillId="0" borderId="86" applyNumberFormat="0" applyFill="0" applyAlignment="0" applyProtection="0"/>
    <xf numFmtId="0" fontId="136" fillId="0" borderId="95" applyNumberFormat="0" applyFill="0" applyAlignment="0" applyProtection="0"/>
    <xf numFmtId="0" fontId="136" fillId="0" borderId="95" applyNumberFormat="0" applyFill="0" applyAlignment="0" applyProtection="0"/>
    <xf numFmtId="0" fontId="136" fillId="0" borderId="95" applyNumberFormat="0" applyFill="0" applyAlignment="0" applyProtection="0"/>
    <xf numFmtId="0" fontId="136" fillId="0" borderId="95" applyNumberFormat="0" applyFill="0" applyAlignment="0" applyProtection="0"/>
    <xf numFmtId="0" fontId="136" fillId="0" borderId="95" applyNumberFormat="0" applyFill="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147" fillId="0" borderId="96" applyNumberFormat="0" applyFill="0" applyAlignment="0" applyProtection="0"/>
    <xf numFmtId="0" fontId="147" fillId="0" borderId="96" applyNumberFormat="0" applyFill="0" applyAlignment="0" applyProtection="0"/>
    <xf numFmtId="0" fontId="117" fillId="0" borderId="81" applyNumberFormat="0" applyFont="0" applyFill="0" applyAlignment="0" applyProtection="0"/>
    <xf numFmtId="0" fontId="147" fillId="0" borderId="96" applyNumberFormat="0" applyFill="0" applyAlignment="0" applyProtection="0"/>
    <xf numFmtId="0" fontId="147" fillId="0" borderId="96" applyNumberFormat="0" applyFill="0" applyAlignment="0" applyProtection="0"/>
    <xf numFmtId="0" fontId="117" fillId="0" borderId="81" applyNumberFormat="0" applyFon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117" fillId="0" borderId="81" applyNumberFormat="0" applyFont="0" applyFill="0" applyAlignment="0" applyProtection="0"/>
    <xf numFmtId="0" fontId="4" fillId="0" borderId="80" applyNumberFormat="0" applyFont="0" applyFill="0" applyAlignment="0" applyProtection="0">
      <alignment vertical="top"/>
    </xf>
    <xf numFmtId="0" fontId="117" fillId="0" borderId="81" applyNumberFormat="0" applyFon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17" fillId="0" borderId="81" applyNumberFormat="0" applyFont="0" applyFill="0" applyAlignment="0" applyProtection="0"/>
    <xf numFmtId="0" fontId="117" fillId="0" borderId="81" applyNumberFormat="0" applyFont="0" applyFill="0" applyAlignment="0" applyProtection="0"/>
    <xf numFmtId="0" fontId="147" fillId="0" borderId="96" applyNumberFormat="0" applyFill="0" applyAlignment="0" applyProtection="0"/>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0" fontId="4" fillId="0" borderId="80" applyNumberFormat="0" applyFont="0" applyFill="0" applyAlignment="0" applyProtection="0">
      <alignment vertical="top"/>
    </xf>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0" fontId="4"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0" fontId="55"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5" fillId="0" borderId="0">
      <alignment horizontal="right" vertical="center"/>
    </xf>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40"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9" fontId="1" fillId="0" borderId="0" applyFont="0" applyFill="0" applyBorder="0" applyAlignment="0" applyProtection="0"/>
  </cellStyleXfs>
  <cellXfs count="820">
    <xf numFmtId="0" fontId="0" fillId="0" borderId="0" xfId="0"/>
    <xf numFmtId="0" fontId="0" fillId="0" borderId="0" xfId="0"/>
    <xf numFmtId="0" fontId="5" fillId="0" borderId="0" xfId="3"/>
    <xf numFmtId="0" fontId="5" fillId="0" borderId="1" xfId="3" applyFill="1" applyBorder="1" applyAlignment="1">
      <alignment vertical="center"/>
    </xf>
    <xf numFmtId="0" fontId="8" fillId="0" borderId="0" xfId="3" applyFont="1"/>
    <xf numFmtId="0" fontId="9" fillId="0" borderId="0" xfId="0" applyFont="1"/>
    <xf numFmtId="0" fontId="15" fillId="0" borderId="0" xfId="0" applyFont="1" applyAlignment="1">
      <alignment horizontal="center"/>
    </xf>
    <xf numFmtId="0" fontId="15" fillId="2" borderId="0" xfId="0" applyFont="1" applyFill="1" applyAlignment="1">
      <alignment horizontal="center"/>
    </xf>
    <xf numFmtId="0" fontId="16" fillId="0" borderId="0" xfId="0" applyFont="1"/>
    <xf numFmtId="0" fontId="17" fillId="0" borderId="0" xfId="12" applyFont="1" applyFill="1" applyBorder="1" applyAlignment="1">
      <alignment horizontal="center"/>
    </xf>
    <xf numFmtId="169" fontId="19" fillId="0" borderId="0" xfId="13" applyNumberFormat="1" applyFont="1" applyFill="1" applyBorder="1" applyAlignment="1">
      <alignment horizontal="center"/>
    </xf>
    <xf numFmtId="169" fontId="20" fillId="0" borderId="0" xfId="13" applyNumberFormat="1" applyFont="1" applyFill="1" applyBorder="1" applyAlignment="1">
      <alignment horizont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11" fillId="0" borderId="0" xfId="0" applyFont="1"/>
    <xf numFmtId="0" fontId="18" fillId="3" borderId="0" xfId="0" applyFont="1" applyFill="1" applyAlignment="1">
      <alignment horizontal="center" vertical="center"/>
    </xf>
    <xf numFmtId="0" fontId="12" fillId="4" borderId="2" xfId="0" applyFont="1" applyFill="1" applyBorder="1" applyAlignment="1">
      <alignment vertical="center"/>
    </xf>
    <xf numFmtId="0" fontId="12" fillId="4" borderId="6" xfId="0" applyFont="1" applyFill="1" applyBorder="1" applyAlignment="1">
      <alignment vertical="center"/>
    </xf>
    <xf numFmtId="0" fontId="24" fillId="5" borderId="5" xfId="0" applyFont="1" applyFill="1" applyBorder="1" applyAlignment="1">
      <alignment horizontal="right" vertical="center" wrapText="1"/>
    </xf>
    <xf numFmtId="169" fontId="10" fillId="0" borderId="7" xfId="11" applyNumberFormat="1" applyFont="1" applyFill="1" applyBorder="1"/>
    <xf numFmtId="170" fontId="12" fillId="7" borderId="5" xfId="11" applyNumberFormat="1" applyFont="1" applyFill="1" applyBorder="1" applyAlignment="1">
      <alignment horizontal="right" vertical="center" wrapText="1"/>
    </xf>
    <xf numFmtId="170" fontId="13" fillId="5" borderId="9" xfId="11" applyNumberFormat="1" applyFont="1" applyFill="1" applyBorder="1" applyAlignment="1">
      <alignment horizontal="right" vertical="center" wrapText="1"/>
    </xf>
    <xf numFmtId="170" fontId="12" fillId="7" borderId="9" xfId="11" applyNumberFormat="1" applyFont="1" applyFill="1" applyBorder="1" applyAlignment="1">
      <alignment horizontal="right" vertical="center" wrapText="1"/>
    </xf>
    <xf numFmtId="3" fontId="12" fillId="2" borderId="5" xfId="0" applyNumberFormat="1" applyFont="1" applyFill="1" applyBorder="1" applyAlignment="1">
      <alignment horizontal="right" vertical="center" wrapText="1"/>
    </xf>
    <xf numFmtId="0" fontId="12" fillId="4" borderId="5" xfId="0" applyFont="1" applyFill="1" applyBorder="1" applyAlignment="1">
      <alignment horizontal="right" vertical="center"/>
    </xf>
    <xf numFmtId="0" fontId="10" fillId="5" borderId="5" xfId="0" applyFont="1" applyFill="1" applyBorder="1" applyAlignment="1">
      <alignment horizontal="right" vertical="center" wrapText="1"/>
    </xf>
    <xf numFmtId="0" fontId="10" fillId="8" borderId="5" xfId="0" applyFont="1" applyFill="1" applyBorder="1" applyAlignment="1">
      <alignment horizontal="right" vertical="center" wrapText="1"/>
    </xf>
    <xf numFmtId="170" fontId="13" fillId="6" borderId="9" xfId="11" applyNumberFormat="1" applyFont="1" applyFill="1" applyBorder="1" applyAlignment="1">
      <alignment horizontal="right" vertical="center" wrapText="1"/>
    </xf>
    <xf numFmtId="43" fontId="16" fillId="0" borderId="0" xfId="11" applyFont="1" applyFill="1" applyBorder="1"/>
    <xf numFmtId="0" fontId="25" fillId="3" borderId="0" xfId="0" applyFont="1" applyFill="1" applyAlignment="1">
      <alignment horizontal="center" vertical="center"/>
    </xf>
    <xf numFmtId="0" fontId="14" fillId="0" borderId="0" xfId="0" applyFont="1"/>
    <xf numFmtId="0" fontId="27" fillId="0" borderId="0" xfId="0" applyFont="1" applyAlignment="1">
      <alignment horizontal="center"/>
    </xf>
    <xf numFmtId="0" fontId="27" fillId="14" borderId="0" xfId="0" applyFont="1" applyFill="1" applyAlignment="1">
      <alignment horizontal="center"/>
    </xf>
    <xf numFmtId="0" fontId="17" fillId="0" borderId="0" xfId="12" applyFont="1" applyBorder="1" applyAlignment="1">
      <alignment horizontal="center"/>
    </xf>
    <xf numFmtId="0" fontId="19" fillId="0" borderId="11" xfId="12" applyFont="1" applyFill="1" applyBorder="1" applyAlignment="1">
      <alignment horizontal="left"/>
    </xf>
    <xf numFmtId="169" fontId="19" fillId="0" borderId="11" xfId="13" applyNumberFormat="1" applyFont="1" applyFill="1" applyBorder="1" applyAlignment="1">
      <alignment horizontal="center"/>
    </xf>
    <xf numFmtId="169" fontId="9" fillId="0" borderId="0" xfId="0" applyNumberFormat="1" applyFont="1"/>
    <xf numFmtId="169" fontId="0" fillId="0" borderId="0" xfId="0" applyNumberFormat="1"/>
    <xf numFmtId="169" fontId="15" fillId="0" borderId="0" xfId="0" applyNumberFormat="1" applyFont="1" applyAlignment="1">
      <alignment horizontal="center"/>
    </xf>
    <xf numFmtId="0" fontId="148" fillId="0" borderId="0" xfId="0" applyFont="1"/>
    <xf numFmtId="0" fontId="0" fillId="14" borderId="0" xfId="0" applyFill="1"/>
    <xf numFmtId="170" fontId="17" fillId="0" borderId="0" xfId="12" applyNumberFormat="1" applyFont="1" applyBorder="1" applyAlignment="1">
      <alignment horizontal="center"/>
    </xf>
    <xf numFmtId="0" fontId="19" fillId="0" borderId="0" xfId="12" applyFont="1" applyFill="1" applyBorder="1" applyAlignment="1">
      <alignment horizontal="left"/>
    </xf>
    <xf numFmtId="0" fontId="18" fillId="0" borderId="0" xfId="12" applyFont="1" applyFill="1" applyBorder="1" applyAlignment="1">
      <alignment horizontal="center"/>
    </xf>
    <xf numFmtId="0" fontId="0" fillId="0" borderId="0" xfId="0"/>
    <xf numFmtId="0" fontId="19" fillId="14" borderId="0" xfId="12" applyFont="1" applyFill="1" applyBorder="1" applyAlignment="1">
      <alignment horizontal="left"/>
    </xf>
    <xf numFmtId="169" fontId="19" fillId="14" borderId="0" xfId="13" applyNumberFormat="1" applyFont="1" applyFill="1" applyBorder="1" applyAlignment="1">
      <alignment horizontal="center"/>
    </xf>
    <xf numFmtId="0" fontId="13" fillId="14" borderId="3" xfId="0" applyFont="1" applyFill="1" applyBorder="1" applyAlignment="1">
      <alignment vertical="center" wrapText="1"/>
    </xf>
    <xf numFmtId="169" fontId="13" fillId="14" borderId="9" xfId="11" applyNumberFormat="1" applyFont="1" applyFill="1" applyBorder="1" applyAlignment="1">
      <alignment horizontal="right" vertical="center" wrapText="1"/>
    </xf>
    <xf numFmtId="0" fontId="12" fillId="14" borderId="6" xfId="0" applyFont="1" applyFill="1" applyBorder="1" applyAlignment="1">
      <alignment vertical="center"/>
    </xf>
    <xf numFmtId="169" fontId="12" fillId="14" borderId="9" xfId="11" applyNumberFormat="1" applyFont="1" applyFill="1" applyBorder="1" applyAlignment="1">
      <alignment horizontal="right" vertical="center" wrapText="1"/>
    </xf>
    <xf numFmtId="0" fontId="9" fillId="14" borderId="0" xfId="0" applyFont="1" applyFill="1"/>
    <xf numFmtId="169" fontId="12" fillId="14" borderId="3" xfId="11" applyNumberFormat="1" applyFont="1" applyFill="1" applyBorder="1" applyAlignment="1">
      <alignment horizontal="right" vertical="center" wrapText="1"/>
    </xf>
    <xf numFmtId="0" fontId="0" fillId="0" borderId="0" xfId="0" applyBorder="1"/>
    <xf numFmtId="0" fontId="0" fillId="0" borderId="0" xfId="0" applyAlignment="1">
      <alignment horizontal="center"/>
    </xf>
    <xf numFmtId="0" fontId="29" fillId="114" borderId="0" xfId="0" applyFont="1" applyFill="1" applyAlignment="1">
      <alignment horizontal="center" vertical="center" wrapText="1"/>
    </xf>
    <xf numFmtId="169" fontId="19" fillId="0" borderId="0" xfId="23" applyNumberFormat="1" applyFont="1" applyFill="1" applyBorder="1" applyAlignment="1">
      <alignment horizontal="left" indent="2"/>
    </xf>
    <xf numFmtId="0" fontId="149" fillId="115" borderId="0" xfId="2" applyFont="1" applyFill="1" applyAlignment="1">
      <alignment horizontal="center" vertical="center"/>
    </xf>
    <xf numFmtId="170" fontId="29" fillId="20" borderId="0" xfId="5111" applyNumberFormat="1" applyFont="1" applyFill="1" applyAlignment="1">
      <alignment horizontal="center" vertical="center"/>
    </xf>
    <xf numFmtId="219" fontId="150" fillId="14" borderId="0" xfId="7867" applyNumberFormat="1" applyFont="1" applyFill="1" applyBorder="1" applyAlignment="1">
      <alignment horizontal="center" vertical="center"/>
    </xf>
    <xf numFmtId="0" fontId="151" fillId="0" borderId="0" xfId="0" applyFont="1" applyAlignment="1">
      <alignment horizontal="left"/>
    </xf>
    <xf numFmtId="0" fontId="9" fillId="0" borderId="0" xfId="0" applyFont="1" applyBorder="1"/>
    <xf numFmtId="172" fontId="152" fillId="14" borderId="0" xfId="21" applyFont="1" applyFill="1" applyBorder="1" applyAlignment="1">
      <alignment horizontal="right" vertical="center" indent="1"/>
    </xf>
    <xf numFmtId="170" fontId="20" fillId="0" borderId="105" xfId="13" applyNumberFormat="1" applyFont="1" applyFill="1" applyBorder="1" applyAlignment="1">
      <alignment horizontal="center"/>
    </xf>
    <xf numFmtId="169" fontId="20" fillId="0" borderId="105" xfId="13" applyNumberFormat="1" applyFont="1" applyFill="1" applyBorder="1" applyAlignment="1">
      <alignment horizontal="center"/>
    </xf>
    <xf numFmtId="170" fontId="20" fillId="0" borderId="105" xfId="23" applyNumberFormat="1" applyFont="1" applyFill="1" applyBorder="1" applyAlignment="1">
      <alignment horizontal="left" indent="2"/>
    </xf>
    <xf numFmtId="1" fontId="29" fillId="118" borderId="0" xfId="0" applyNumberFormat="1" applyFont="1" applyFill="1" applyAlignment="1">
      <alignment horizontal="center" vertical="center" wrapText="1"/>
    </xf>
    <xf numFmtId="172" fontId="153" fillId="14" borderId="0" xfId="21" applyFont="1" applyFill="1" applyBorder="1" applyAlignment="1">
      <alignment horizontal="right" vertical="center" indent="1"/>
    </xf>
    <xf numFmtId="172" fontId="154" fillId="14" borderId="0" xfId="21" applyFont="1" applyFill="1" applyAlignment="1"/>
    <xf numFmtId="0" fontId="5" fillId="0" borderId="0" xfId="3" applyFill="1" applyBorder="1" applyAlignment="1">
      <alignment vertical="center"/>
    </xf>
    <xf numFmtId="0" fontId="155" fillId="0" borderId="0" xfId="0" applyFont="1"/>
    <xf numFmtId="0" fontId="156" fillId="0" borderId="0" xfId="0" applyFont="1"/>
    <xf numFmtId="0" fontId="157" fillId="0" borderId="0" xfId="0" applyFont="1"/>
    <xf numFmtId="0" fontId="0" fillId="0" borderId="0" xfId="0" applyFont="1"/>
    <xf numFmtId="0" fontId="159" fillId="0" borderId="0" xfId="0" applyFont="1"/>
    <xf numFmtId="0" fontId="9" fillId="14" borderId="0" xfId="0" applyFont="1" applyFill="1" applyBorder="1"/>
    <xf numFmtId="0" fontId="160" fillId="0" borderId="0" xfId="0" applyFont="1"/>
    <xf numFmtId="0" fontId="15" fillId="0" borderId="0" xfId="0" applyFont="1"/>
    <xf numFmtId="0" fontId="161" fillId="3" borderId="0" xfId="0" applyFont="1" applyFill="1"/>
    <xf numFmtId="0" fontId="162" fillId="3" borderId="0" xfId="0" applyFont="1" applyFill="1" applyAlignment="1">
      <alignment horizontal="center" vertical="center"/>
    </xf>
    <xf numFmtId="0" fontId="17" fillId="0" borderId="0" xfId="12" applyFont="1" applyFill="1" applyBorder="1" applyAlignment="1">
      <alignment horizontal="left"/>
    </xf>
    <xf numFmtId="0" fontId="163" fillId="0" borderId="0" xfId="12" applyFont="1" applyFill="1" applyBorder="1" applyAlignment="1">
      <alignment horizontal="left"/>
    </xf>
    <xf numFmtId="169" fontId="163" fillId="0" borderId="0" xfId="23" applyNumberFormat="1" applyFont="1" applyFill="1" applyBorder="1" applyAlignment="1">
      <alignment horizontal="center"/>
    </xf>
    <xf numFmtId="0" fontId="164" fillId="0" borderId="105" xfId="12" applyFont="1" applyFill="1" applyBorder="1" applyAlignment="1">
      <alignment horizontal="left"/>
    </xf>
    <xf numFmtId="170" fontId="164" fillId="0" borderId="105" xfId="23" applyNumberFormat="1" applyFont="1" applyFill="1" applyBorder="1" applyAlignment="1">
      <alignment horizontal="center"/>
    </xf>
    <xf numFmtId="169" fontId="164" fillId="0" borderId="105" xfId="23" applyNumberFormat="1" applyFont="1" applyFill="1" applyBorder="1" applyAlignment="1">
      <alignment horizontal="center"/>
    </xf>
    <xf numFmtId="0" fontId="165" fillId="0" borderId="0" xfId="0" applyFont="1" applyAlignment="1">
      <alignment vertical="center"/>
    </xf>
    <xf numFmtId="0" fontId="166" fillId="0" borderId="0" xfId="0" applyFont="1" applyAlignment="1">
      <alignment vertical="center"/>
    </xf>
    <xf numFmtId="0" fontId="167" fillId="0" borderId="0" xfId="0" applyFont="1"/>
    <xf numFmtId="0" fontId="167" fillId="3" borderId="0" xfId="0" applyFont="1" applyFill="1"/>
    <xf numFmtId="0" fontId="17" fillId="3" borderId="0" xfId="0" applyFont="1" applyFill="1" applyAlignment="1">
      <alignment horizontal="center" vertical="center"/>
    </xf>
    <xf numFmtId="0" fontId="168" fillId="4" borderId="2" xfId="0" applyFont="1" applyFill="1" applyBorder="1" applyAlignment="1">
      <alignment vertical="center"/>
    </xf>
    <xf numFmtId="0" fontId="168" fillId="4" borderId="6" xfId="0" applyFont="1" applyFill="1" applyBorder="1" applyAlignment="1">
      <alignment vertical="center"/>
    </xf>
    <xf numFmtId="0" fontId="169" fillId="5" borderId="3" xfId="0" applyFont="1" applyFill="1" applyBorder="1" applyAlignment="1">
      <alignment vertical="center" wrapText="1"/>
    </xf>
    <xf numFmtId="0" fontId="166" fillId="5" borderId="5" xfId="0" applyFont="1" applyFill="1" applyBorder="1" applyAlignment="1">
      <alignment horizontal="right" vertical="center" wrapText="1"/>
    </xf>
    <xf numFmtId="0" fontId="23" fillId="6" borderId="3" xfId="0" applyFont="1" applyFill="1" applyBorder="1" applyAlignment="1">
      <alignment horizontal="left" vertical="center" wrapText="1" indent="1"/>
    </xf>
    <xf numFmtId="169" fontId="23" fillId="0" borderId="7" xfId="11" applyNumberFormat="1" applyFont="1" applyFill="1" applyBorder="1"/>
    <xf numFmtId="0" fontId="168" fillId="7" borderId="8" xfId="0" applyFont="1" applyFill="1" applyBorder="1" applyAlignment="1">
      <alignment vertical="center"/>
    </xf>
    <xf numFmtId="170" fontId="168" fillId="7" borderId="5" xfId="11" applyNumberFormat="1" applyFont="1" applyFill="1" applyBorder="1" applyAlignment="1">
      <alignment horizontal="right" vertical="center" wrapText="1"/>
    </xf>
    <xf numFmtId="170" fontId="169" fillId="5" borderId="9" xfId="11" applyNumberFormat="1" applyFont="1" applyFill="1" applyBorder="1" applyAlignment="1">
      <alignment horizontal="right" vertical="center" wrapText="1"/>
    </xf>
    <xf numFmtId="169" fontId="169" fillId="5" borderId="9" xfId="0" applyNumberFormat="1" applyFont="1" applyFill="1" applyBorder="1" applyAlignment="1">
      <alignment wrapText="1"/>
    </xf>
    <xf numFmtId="0" fontId="168" fillId="7" borderId="0" xfId="0" applyFont="1" applyFill="1" applyAlignment="1">
      <alignment vertical="center"/>
    </xf>
    <xf numFmtId="170" fontId="168" fillId="7" borderId="9" xfId="11" applyNumberFormat="1" applyFont="1" applyFill="1" applyBorder="1" applyAlignment="1">
      <alignment horizontal="right" vertical="center" wrapText="1"/>
    </xf>
    <xf numFmtId="170" fontId="168" fillId="7" borderId="9" xfId="0" applyNumberFormat="1" applyFont="1" applyFill="1" applyBorder="1" applyAlignment="1">
      <alignment wrapText="1"/>
    </xf>
    <xf numFmtId="0" fontId="168" fillId="2" borderId="0" xfId="0" applyFont="1" applyFill="1" applyAlignment="1">
      <alignment vertical="center"/>
    </xf>
    <xf numFmtId="3" fontId="168" fillId="2" borderId="5" xfId="0" applyNumberFormat="1" applyFont="1" applyFill="1" applyBorder="1" applyAlignment="1">
      <alignment horizontal="right" vertical="center" wrapText="1"/>
    </xf>
    <xf numFmtId="0" fontId="168" fillId="4" borderId="5" xfId="0" applyFont="1" applyFill="1" applyBorder="1" applyAlignment="1">
      <alignment horizontal="right" vertical="center"/>
    </xf>
    <xf numFmtId="0" fontId="23" fillId="5" borderId="5" xfId="0" applyFont="1" applyFill="1" applyBorder="1" applyAlignment="1">
      <alignment horizontal="right" vertical="center" wrapText="1"/>
    </xf>
    <xf numFmtId="169" fontId="23" fillId="0" borderId="0" xfId="11" applyNumberFormat="1" applyFont="1" applyFill="1" applyBorder="1"/>
    <xf numFmtId="0" fontId="169" fillId="8" borderId="3" xfId="0" applyFont="1" applyFill="1" applyBorder="1" applyAlignment="1">
      <alignment vertical="center" wrapText="1"/>
    </xf>
    <xf numFmtId="0" fontId="23" fillId="8" borderId="5" xfId="0" applyFont="1" applyFill="1" applyBorder="1" applyAlignment="1">
      <alignment horizontal="right" vertical="center" wrapText="1"/>
    </xf>
    <xf numFmtId="0" fontId="169" fillId="8" borderId="2" xfId="0" applyFont="1" applyFill="1" applyBorder="1" applyAlignment="1">
      <alignment vertical="center" wrapText="1"/>
    </xf>
    <xf numFmtId="0" fontId="168" fillId="7" borderId="6" xfId="0" applyFont="1" applyFill="1" applyBorder="1" applyAlignment="1">
      <alignment vertical="center"/>
    </xf>
    <xf numFmtId="43" fontId="15" fillId="0" borderId="0" xfId="11" applyFont="1" applyFill="1" applyBorder="1"/>
    <xf numFmtId="169" fontId="160" fillId="0" borderId="0" xfId="0" applyNumberFormat="1" applyFont="1"/>
    <xf numFmtId="169" fontId="23" fillId="0" borderId="10" xfId="11" applyNumberFormat="1" applyFont="1" applyFill="1" applyBorder="1"/>
    <xf numFmtId="169" fontId="163" fillId="0" borderId="0" xfId="13" applyNumberFormat="1" applyFont="1" applyFill="1" applyBorder="1" applyAlignment="1">
      <alignment horizontal="center"/>
    </xf>
    <xf numFmtId="170" fontId="164" fillId="0" borderId="105" xfId="13" applyNumberFormat="1" applyFont="1" applyFill="1" applyBorder="1" applyAlignment="1">
      <alignment horizontal="center"/>
    </xf>
    <xf numFmtId="169" fontId="164" fillId="0" borderId="105" xfId="13" applyNumberFormat="1" applyFont="1" applyFill="1" applyBorder="1" applyAlignment="1">
      <alignment horizontal="center"/>
    </xf>
    <xf numFmtId="170" fontId="170" fillId="0" borderId="0" xfId="11" applyNumberFormat="1" applyFont="1" applyFill="1" applyBorder="1" applyAlignment="1">
      <alignment vertical="center"/>
    </xf>
    <xf numFmtId="170" fontId="160" fillId="0" borderId="0" xfId="0" applyNumberFormat="1" applyFont="1"/>
    <xf numFmtId="0" fontId="167" fillId="9" borderId="0" xfId="0" applyFont="1" applyFill="1"/>
    <xf numFmtId="0" fontId="168" fillId="10" borderId="2" xfId="0" applyFont="1" applyFill="1" applyBorder="1" applyAlignment="1">
      <alignment vertical="center"/>
    </xf>
    <xf numFmtId="0" fontId="168" fillId="10" borderId="6" xfId="0" applyFont="1" applyFill="1" applyBorder="1" applyAlignment="1">
      <alignment vertical="center"/>
    </xf>
    <xf numFmtId="0" fontId="169" fillId="11" borderId="3" xfId="0" applyFont="1" applyFill="1" applyBorder="1" applyAlignment="1">
      <alignment vertical="center" wrapText="1"/>
    </xf>
    <xf numFmtId="0" fontId="166" fillId="11" borderId="5" xfId="0" applyFont="1" applyFill="1" applyBorder="1" applyAlignment="1">
      <alignment horizontal="right" vertical="center" wrapText="1"/>
    </xf>
    <xf numFmtId="0" fontId="23" fillId="12" borderId="3" xfId="0" applyFont="1" applyFill="1" applyBorder="1" applyAlignment="1">
      <alignment horizontal="left" vertical="center" wrapText="1" indent="1"/>
    </xf>
    <xf numFmtId="0" fontId="168" fillId="13" borderId="8" xfId="0" applyFont="1" applyFill="1" applyBorder="1" applyAlignment="1">
      <alignment vertical="center"/>
    </xf>
    <xf numFmtId="170" fontId="168" fillId="13" borderId="5" xfId="11" applyNumberFormat="1" applyFont="1" applyFill="1" applyBorder="1" applyAlignment="1">
      <alignment horizontal="right" vertical="center" wrapText="1"/>
    </xf>
    <xf numFmtId="170" fontId="169" fillId="11" borderId="9" xfId="11" applyNumberFormat="1" applyFont="1" applyFill="1" applyBorder="1" applyAlignment="1">
      <alignment horizontal="right" vertical="center" wrapText="1"/>
    </xf>
    <xf numFmtId="0" fontId="168" fillId="13" borderId="0" xfId="0" applyFont="1" applyFill="1" applyAlignment="1">
      <alignment vertical="center"/>
    </xf>
    <xf numFmtId="170" fontId="168" fillId="13" borderId="9" xfId="11" applyNumberFormat="1" applyFont="1" applyFill="1" applyBorder="1" applyAlignment="1">
      <alignment horizontal="right" vertical="center" wrapText="1"/>
    </xf>
    <xf numFmtId="0" fontId="168" fillId="14" borderId="0" xfId="0" applyFont="1" applyFill="1" applyAlignment="1">
      <alignment vertical="center"/>
    </xf>
    <xf numFmtId="3" fontId="168" fillId="14" borderId="5" xfId="0" applyNumberFormat="1" applyFont="1" applyFill="1" applyBorder="1" applyAlignment="1">
      <alignment horizontal="right" vertical="center" wrapText="1"/>
    </xf>
    <xf numFmtId="0" fontId="168" fillId="10" borderId="5" xfId="0" applyFont="1" applyFill="1" applyBorder="1" applyAlignment="1">
      <alignment horizontal="right" vertical="center"/>
    </xf>
    <xf numFmtId="0" fontId="23" fillId="11" borderId="5" xfId="0" applyFont="1" applyFill="1" applyBorder="1" applyAlignment="1">
      <alignment horizontal="right" vertical="center" wrapText="1"/>
    </xf>
    <xf numFmtId="0" fontId="169" fillId="15" borderId="3" xfId="0" applyFont="1" applyFill="1" applyBorder="1" applyAlignment="1">
      <alignment vertical="center" wrapText="1"/>
    </xf>
    <xf numFmtId="0" fontId="23" fillId="15" borderId="5" xfId="0" applyFont="1" applyFill="1" applyBorder="1" applyAlignment="1">
      <alignment horizontal="right" vertical="center" wrapText="1"/>
    </xf>
    <xf numFmtId="0" fontId="169" fillId="15" borderId="2" xfId="0" applyFont="1" applyFill="1" applyBorder="1" applyAlignment="1">
      <alignment vertical="center" wrapText="1"/>
    </xf>
    <xf numFmtId="0" fontId="168" fillId="13" borderId="6" xfId="0" applyFont="1" applyFill="1" applyBorder="1" applyAlignment="1">
      <alignment vertical="center"/>
    </xf>
    <xf numFmtId="0" fontId="164" fillId="0" borderId="0" xfId="12" applyFont="1" applyFill="1" applyBorder="1" applyAlignment="1">
      <alignment horizontal="left"/>
    </xf>
    <xf numFmtId="0" fontId="27" fillId="0" borderId="0" xfId="0" applyFont="1"/>
    <xf numFmtId="0" fontId="169" fillId="6" borderId="3" xfId="0" applyFont="1" applyFill="1" applyBorder="1" applyAlignment="1">
      <alignment vertical="center" wrapText="1"/>
    </xf>
    <xf numFmtId="0" fontId="23" fillId="6" borderId="4" xfId="0" applyFont="1" applyFill="1" applyBorder="1" applyAlignment="1">
      <alignment horizontal="left" vertical="center" wrapText="1" indent="1"/>
    </xf>
    <xf numFmtId="0" fontId="171" fillId="0" borderId="105" xfId="0" applyFont="1" applyBorder="1"/>
    <xf numFmtId="38" fontId="172" fillId="0" borderId="105" xfId="0" applyNumberFormat="1" applyFont="1" applyBorder="1" applyAlignment="1">
      <alignment horizontal="center" vertical="center"/>
    </xf>
    <xf numFmtId="0" fontId="162" fillId="16" borderId="11" xfId="0" applyFont="1" applyFill="1" applyBorder="1" applyAlignment="1">
      <alignment horizontal="left" vertical="center" wrapText="1"/>
    </xf>
    <xf numFmtId="0" fontId="162" fillId="16" borderId="11" xfId="0" applyFont="1" applyFill="1" applyBorder="1" applyAlignment="1">
      <alignment horizontal="center" vertical="center" wrapText="1"/>
    </xf>
    <xf numFmtId="0" fontId="17" fillId="0" borderId="0" xfId="12" applyFont="1" applyBorder="1" applyAlignment="1">
      <alignment horizontal="left"/>
    </xf>
    <xf numFmtId="169" fontId="164" fillId="0" borderId="0" xfId="13" applyNumberFormat="1" applyFont="1" applyFill="1" applyBorder="1" applyAlignment="1">
      <alignment horizontal="center"/>
    </xf>
    <xf numFmtId="0" fontId="166" fillId="11" borderId="4" xfId="0" applyFont="1" applyFill="1" applyBorder="1" applyAlignment="1">
      <alignment horizontal="right" vertical="center" wrapText="1"/>
    </xf>
    <xf numFmtId="170" fontId="168" fillId="13" borderId="4" xfId="11" applyNumberFormat="1" applyFont="1" applyFill="1" applyBorder="1" applyAlignment="1">
      <alignment horizontal="right" vertical="center" wrapText="1"/>
    </xf>
    <xf numFmtId="170" fontId="169" fillId="11" borderId="3" xfId="11" applyNumberFormat="1" applyFont="1" applyFill="1" applyBorder="1" applyAlignment="1">
      <alignment horizontal="right" vertical="center" wrapText="1"/>
    </xf>
    <xf numFmtId="170" fontId="168" fillId="13" borderId="3" xfId="11" applyNumberFormat="1" applyFont="1" applyFill="1" applyBorder="1" applyAlignment="1">
      <alignment horizontal="right" vertical="center" wrapText="1"/>
    </xf>
    <xf numFmtId="3" fontId="168" fillId="14" borderId="4" xfId="0" applyNumberFormat="1" applyFont="1" applyFill="1" applyBorder="1" applyAlignment="1">
      <alignment horizontal="right" vertical="center" wrapText="1"/>
    </xf>
    <xf numFmtId="0" fontId="168" fillId="10" borderId="4" xfId="0" applyFont="1" applyFill="1" applyBorder="1" applyAlignment="1">
      <alignment horizontal="right" vertical="center"/>
    </xf>
    <xf numFmtId="0" fontId="23" fillId="11" borderId="4" xfId="0" applyFont="1" applyFill="1" applyBorder="1" applyAlignment="1">
      <alignment horizontal="right" vertical="center" wrapText="1"/>
    </xf>
    <xf numFmtId="0" fontId="23" fillId="15" borderId="4" xfId="0" applyFont="1" applyFill="1" applyBorder="1" applyAlignment="1">
      <alignment horizontal="right" vertical="center" wrapText="1"/>
    </xf>
    <xf numFmtId="170" fontId="160" fillId="0" borderId="0" xfId="11" applyNumberFormat="1" applyFont="1"/>
    <xf numFmtId="169" fontId="163" fillId="0" borderId="0" xfId="13" applyNumberFormat="1" applyFont="1" applyFill="1" applyAlignment="1">
      <alignment horizontal="center"/>
    </xf>
    <xf numFmtId="170" fontId="163" fillId="0" borderId="0" xfId="11" applyNumberFormat="1" applyFont="1" applyFill="1" applyBorder="1" applyAlignment="1">
      <alignment horizontal="center"/>
    </xf>
    <xf numFmtId="169" fontId="17" fillId="0" borderId="0" xfId="12" applyNumberFormat="1" applyFont="1" applyFill="1" applyBorder="1" applyAlignment="1">
      <alignment horizontal="center"/>
    </xf>
    <xf numFmtId="169" fontId="164" fillId="0" borderId="0" xfId="12" applyNumberFormat="1" applyFont="1" applyFill="1" applyBorder="1" applyAlignment="1">
      <alignment horizontal="left"/>
    </xf>
    <xf numFmtId="0" fontId="173" fillId="0" borderId="11" xfId="12" quotePrefix="1" applyFont="1" applyFill="1" applyBorder="1" applyAlignment="1">
      <alignment horizontal="left" vertical="center" wrapText="1"/>
    </xf>
    <xf numFmtId="0" fontId="17" fillId="0" borderId="0" xfId="12" applyFont="1" applyAlignment="1">
      <alignment horizontal="left"/>
    </xf>
    <xf numFmtId="0" fontId="17" fillId="0" borderId="0" xfId="12" applyFont="1" applyAlignment="1">
      <alignment horizontal="center"/>
    </xf>
    <xf numFmtId="0" fontId="163" fillId="0" borderId="0" xfId="12" applyFont="1" applyAlignment="1">
      <alignment horizontal="left"/>
    </xf>
    <xf numFmtId="169" fontId="163" fillId="0" borderId="0" xfId="13" applyNumberFormat="1" applyFont="1" applyAlignment="1">
      <alignment horizontal="center"/>
    </xf>
    <xf numFmtId="0" fontId="164" fillId="0" borderId="0" xfId="12" applyFont="1" applyAlignment="1">
      <alignment horizontal="left"/>
    </xf>
    <xf numFmtId="169" fontId="164" fillId="0" borderId="0" xfId="13" applyNumberFormat="1" applyFont="1" applyAlignment="1">
      <alignment horizontal="center"/>
    </xf>
    <xf numFmtId="0" fontId="164" fillId="0" borderId="105" xfId="12" applyFont="1" applyBorder="1" applyAlignment="1">
      <alignment horizontal="left"/>
    </xf>
    <xf numFmtId="170" fontId="164" fillId="0" borderId="105" xfId="13" applyNumberFormat="1" applyFont="1" applyBorder="1" applyAlignment="1">
      <alignment horizontal="center"/>
    </xf>
    <xf numFmtId="169" fontId="27" fillId="0" borderId="0" xfId="0" applyNumberFormat="1" applyFont="1"/>
    <xf numFmtId="0" fontId="168" fillId="13" borderId="98" xfId="0" applyFont="1" applyFill="1" applyBorder="1" applyAlignment="1">
      <alignment vertical="center"/>
    </xf>
    <xf numFmtId="0" fontId="169" fillId="11" borderId="4" xfId="0" applyFont="1" applyFill="1" applyBorder="1" applyAlignment="1">
      <alignment vertical="center" wrapText="1"/>
    </xf>
    <xf numFmtId="169" fontId="23" fillId="0" borderId="97" xfId="11" applyNumberFormat="1" applyFont="1" applyFill="1" applyBorder="1"/>
    <xf numFmtId="170" fontId="17" fillId="0" borderId="0" xfId="12" applyNumberFormat="1" applyFont="1" applyFill="1" applyBorder="1" applyAlignment="1">
      <alignment horizontal="center"/>
    </xf>
    <xf numFmtId="0" fontId="168" fillId="10" borderId="99" xfId="0" applyFont="1" applyFill="1" applyBorder="1" applyAlignment="1">
      <alignment vertical="center"/>
    </xf>
    <xf numFmtId="0" fontId="168" fillId="10" borderId="98" xfId="0" applyFont="1" applyFill="1" applyBorder="1" applyAlignment="1">
      <alignment vertical="center"/>
    </xf>
    <xf numFmtId="0" fontId="169" fillId="11" borderId="0" xfId="0" applyFont="1" applyFill="1" applyAlignment="1">
      <alignment vertical="center" wrapText="1"/>
    </xf>
    <xf numFmtId="0" fontId="166" fillId="11" borderId="0" xfId="0" applyFont="1" applyFill="1" applyAlignment="1">
      <alignment horizontal="right" vertical="center" wrapText="1"/>
    </xf>
    <xf numFmtId="0" fontId="23" fillId="14" borderId="0" xfId="0" applyFont="1" applyFill="1" applyAlignment="1">
      <alignment horizontal="left" vertical="center" wrapText="1" indent="1"/>
    </xf>
    <xf numFmtId="169" fontId="23" fillId="14" borderId="0" xfId="11" applyNumberFormat="1" applyFont="1" applyFill="1" applyBorder="1"/>
    <xf numFmtId="170" fontId="168" fillId="13" borderId="0" xfId="11" applyNumberFormat="1" applyFont="1" applyFill="1" applyBorder="1" applyAlignment="1">
      <alignment horizontal="right" vertical="center" wrapText="1"/>
    </xf>
    <xf numFmtId="170" fontId="169" fillId="11" borderId="0" xfId="11" applyNumberFormat="1" applyFont="1" applyFill="1" applyBorder="1" applyAlignment="1">
      <alignment horizontal="right" vertical="center" wrapText="1"/>
    </xf>
    <xf numFmtId="3" fontId="168" fillId="14" borderId="0" xfId="0" applyNumberFormat="1" applyFont="1" applyFill="1" applyAlignment="1">
      <alignment horizontal="right" vertical="center" wrapText="1"/>
    </xf>
    <xf numFmtId="0" fontId="168" fillId="10" borderId="0" xfId="0" applyFont="1" applyFill="1" applyAlignment="1">
      <alignment vertical="center"/>
    </xf>
    <xf numFmtId="0" fontId="168" fillId="10" borderId="0" xfId="0" applyFont="1" applyFill="1" applyAlignment="1">
      <alignment horizontal="right" vertical="center"/>
    </xf>
    <xf numFmtId="0" fontId="23" fillId="11" borderId="0" xfId="0" applyFont="1" applyFill="1" applyAlignment="1">
      <alignment horizontal="right" vertical="center" wrapText="1"/>
    </xf>
    <xf numFmtId="0" fontId="169" fillId="15" borderId="0" xfId="0" applyFont="1" applyFill="1" applyAlignment="1">
      <alignment vertical="center" wrapText="1"/>
    </xf>
    <xf numFmtId="0" fontId="23" fillId="15" borderId="0" xfId="0" applyFont="1" applyFill="1" applyAlignment="1">
      <alignment horizontal="right" vertical="center" wrapText="1"/>
    </xf>
    <xf numFmtId="0" fontId="27" fillId="14" borderId="0" xfId="0" applyFont="1" applyFill="1"/>
    <xf numFmtId="0" fontId="23" fillId="14" borderId="3" xfId="0" applyFont="1" applyFill="1" applyBorder="1" applyAlignment="1">
      <alignment horizontal="left" vertical="center" wrapText="1" indent="1"/>
    </xf>
    <xf numFmtId="169" fontId="23" fillId="14" borderId="10" xfId="11" applyNumberFormat="1" applyFont="1" applyFill="1" applyBorder="1"/>
    <xf numFmtId="0" fontId="23" fillId="14" borderId="12" xfId="0" applyFont="1" applyFill="1" applyBorder="1" applyAlignment="1">
      <alignment horizontal="left" vertical="center" wrapText="1" indent="1"/>
    </xf>
    <xf numFmtId="169" fontId="23" fillId="14" borderId="13" xfId="11" applyNumberFormat="1" applyFont="1" applyFill="1" applyBorder="1"/>
    <xf numFmtId="0" fontId="168" fillId="13" borderId="0" xfId="0" applyFont="1" applyFill="1" applyBorder="1" applyAlignment="1">
      <alignment vertical="center"/>
    </xf>
    <xf numFmtId="0" fontId="169" fillId="11" borderId="0" xfId="0" applyFont="1" applyFill="1" applyBorder="1" applyAlignment="1">
      <alignment vertical="center" wrapText="1"/>
    </xf>
    <xf numFmtId="0" fontId="166" fillId="11" borderId="0" xfId="0" applyFont="1" applyFill="1" applyBorder="1" applyAlignment="1">
      <alignment horizontal="right" vertical="center" wrapText="1"/>
    </xf>
    <xf numFmtId="0" fontId="23" fillId="14" borderId="0" xfId="0" applyFont="1" applyFill="1" applyBorder="1" applyAlignment="1">
      <alignment horizontal="left" vertical="center" wrapText="1" indent="1"/>
    </xf>
    <xf numFmtId="0" fontId="168" fillId="14" borderId="0" xfId="0" applyFont="1" applyFill="1" applyBorder="1" applyAlignment="1">
      <alignment vertical="center"/>
    </xf>
    <xf numFmtId="3" fontId="168" fillId="14" borderId="0" xfId="0" applyNumberFormat="1" applyFont="1" applyFill="1" applyBorder="1" applyAlignment="1">
      <alignment horizontal="right" vertical="center" wrapText="1"/>
    </xf>
    <xf numFmtId="0" fontId="168" fillId="10" borderId="0" xfId="0" applyFont="1" applyFill="1" applyBorder="1" applyAlignment="1">
      <alignment vertical="center"/>
    </xf>
    <xf numFmtId="0" fontId="169" fillId="15" borderId="0" xfId="0" applyFont="1" applyFill="1" applyBorder="1" applyAlignment="1">
      <alignment vertical="center" wrapText="1"/>
    </xf>
    <xf numFmtId="0" fontId="23" fillId="15" borderId="0" xfId="0" applyFont="1" applyFill="1" applyBorder="1" applyAlignment="1">
      <alignment horizontal="right" vertical="center" wrapText="1"/>
    </xf>
    <xf numFmtId="0" fontId="167" fillId="0" borderId="0" xfId="0" applyFont="1" applyBorder="1"/>
    <xf numFmtId="0" fontId="27" fillId="0" borderId="0" xfId="0" applyFont="1" applyBorder="1"/>
    <xf numFmtId="0" fontId="23" fillId="12" borderId="0" xfId="0" applyFont="1" applyFill="1" applyAlignment="1">
      <alignment horizontal="left" vertical="center" wrapText="1" indent="1"/>
    </xf>
    <xf numFmtId="43" fontId="27" fillId="0" borderId="0" xfId="11" applyFont="1" applyBorder="1"/>
    <xf numFmtId="0" fontId="161" fillId="9" borderId="0" xfId="0" applyFont="1" applyFill="1"/>
    <xf numFmtId="0" fontId="162" fillId="9" borderId="0" xfId="0" applyFont="1" applyFill="1" applyAlignment="1">
      <alignment horizontal="center" vertical="center"/>
    </xf>
    <xf numFmtId="43" fontId="27" fillId="0" borderId="0" xfId="11" applyFont="1"/>
    <xf numFmtId="8" fontId="27" fillId="0" borderId="0" xfId="0" applyNumberFormat="1" applyFont="1" applyFill="1" applyBorder="1"/>
    <xf numFmtId="0" fontId="174" fillId="0" borderId="0" xfId="3" applyFont="1" applyBorder="1"/>
    <xf numFmtId="0" fontId="27" fillId="14" borderId="0" xfId="0" applyFont="1" applyFill="1" applyBorder="1"/>
    <xf numFmtId="0" fontId="174" fillId="14" borderId="0" xfId="3" applyFont="1" applyFill="1" applyBorder="1"/>
    <xf numFmtId="0" fontId="174" fillId="0" borderId="0" xfId="3" applyFont="1" applyBorder="1" applyAlignment="1"/>
    <xf numFmtId="0" fontId="9" fillId="121" borderId="0" xfId="0" applyFont="1" applyFill="1"/>
    <xf numFmtId="0" fontId="175" fillId="121" borderId="0" xfId="0" applyFont="1" applyFill="1"/>
    <xf numFmtId="8" fontId="176" fillId="121" borderId="0" xfId="0" applyNumberFormat="1" applyFont="1" applyFill="1"/>
    <xf numFmtId="0" fontId="176" fillId="121" borderId="0" xfId="0" applyFont="1" applyFill="1"/>
    <xf numFmtId="0" fontId="26" fillId="121" borderId="0" xfId="0" applyFont="1" applyFill="1"/>
    <xf numFmtId="0" fontId="89" fillId="14" borderId="0" xfId="14" applyFont="1" applyFill="1"/>
    <xf numFmtId="0" fontId="177" fillId="14" borderId="0" xfId="14" applyFont="1" applyFill="1"/>
    <xf numFmtId="171" fontId="89" fillId="14" borderId="0" xfId="15" applyNumberFormat="1" applyFont="1" applyFill="1" applyBorder="1"/>
    <xf numFmtId="171" fontId="178" fillId="14" borderId="0" xfId="0" applyNumberFormat="1" applyFont="1" applyFill="1"/>
    <xf numFmtId="0" fontId="25" fillId="117" borderId="11" xfId="0" applyFont="1" applyFill="1" applyBorder="1" applyAlignment="1">
      <alignment horizontal="left" vertical="center" wrapText="1"/>
    </xf>
    <xf numFmtId="0" fontId="179" fillId="0" borderId="1" xfId="0" applyFont="1" applyFill="1" applyBorder="1" applyAlignment="1">
      <alignment vertical="center"/>
    </xf>
    <xf numFmtId="0" fontId="180" fillId="0" borderId="0" xfId="0" applyFont="1"/>
    <xf numFmtId="0" fontId="152" fillId="0" borderId="0" xfId="0" applyFont="1"/>
    <xf numFmtId="0" fontId="181" fillId="0" borderId="0" xfId="0" applyFont="1"/>
    <xf numFmtId="0" fontId="9" fillId="0" borderId="109" xfId="0" applyFont="1" applyBorder="1"/>
    <xf numFmtId="0" fontId="0" fillId="0" borderId="109" xfId="0" applyBorder="1"/>
    <xf numFmtId="0" fontId="0" fillId="119" borderId="109" xfId="0" applyFont="1" applyFill="1" applyBorder="1"/>
    <xf numFmtId="0" fontId="0" fillId="0" borderId="0" xfId="0" applyFont="1" applyFill="1" applyBorder="1"/>
    <xf numFmtId="0" fontId="156" fillId="119" borderId="109" xfId="0" applyFont="1" applyFill="1" applyBorder="1"/>
    <xf numFmtId="0" fontId="166" fillId="0" borderId="0" xfId="16" applyFont="1"/>
    <xf numFmtId="0" fontId="23" fillId="12" borderId="12" xfId="0" applyFont="1" applyFill="1" applyBorder="1" applyAlignment="1">
      <alignment horizontal="left" vertical="center" wrapText="1" indent="1"/>
    </xf>
    <xf numFmtId="169" fontId="23" fillId="0" borderId="13" xfId="21" applyNumberFormat="1" applyFont="1" applyFill="1" applyBorder="1"/>
    <xf numFmtId="171" fontId="166" fillId="0" borderId="0" xfId="16" applyNumberFormat="1" applyFont="1"/>
    <xf numFmtId="0" fontId="162" fillId="117" borderId="11" xfId="0" applyFont="1" applyFill="1" applyBorder="1" applyAlignment="1">
      <alignment horizontal="left" vertical="center" wrapText="1"/>
    </xf>
    <xf numFmtId="0" fontId="161" fillId="117" borderId="11" xfId="0" applyFont="1" applyFill="1" applyBorder="1" applyAlignment="1">
      <alignment horizontal="center" vertical="center" wrapText="1"/>
    </xf>
    <xf numFmtId="0" fontId="162" fillId="117" borderId="0" xfId="0" applyFont="1" applyFill="1" applyBorder="1" applyAlignment="1">
      <alignment horizontal="center"/>
    </xf>
    <xf numFmtId="0" fontId="162" fillId="117" borderId="0" xfId="0" applyFont="1" applyFill="1" applyBorder="1" applyAlignment="1">
      <alignment horizontal="center" vertical="center"/>
    </xf>
    <xf numFmtId="0" fontId="158" fillId="0" borderId="0" xfId="0" applyFont="1"/>
    <xf numFmtId="0" fontId="173" fillId="0" borderId="0" xfId="12" quotePrefix="1" applyFont="1" applyFill="1" applyBorder="1" applyAlignment="1">
      <alignment horizontal="left" vertical="center" wrapText="1"/>
    </xf>
    <xf numFmtId="0" fontId="162" fillId="122" borderId="105" xfId="12" applyFont="1" applyFill="1" applyBorder="1" applyAlignment="1">
      <alignment horizontal="left"/>
    </xf>
    <xf numFmtId="169" fontId="161" fillId="122" borderId="105" xfId="13" applyNumberFormat="1" applyFont="1" applyFill="1" applyBorder="1" applyAlignment="1">
      <alignment horizontal="center"/>
    </xf>
    <xf numFmtId="0" fontId="182" fillId="0" borderId="0" xfId="0" applyFont="1" applyAlignment="1">
      <alignment vertical="center"/>
    </xf>
    <xf numFmtId="1" fontId="29" fillId="114" borderId="0" xfId="0" applyNumberFormat="1" applyFont="1" applyFill="1" applyAlignment="1">
      <alignment horizontal="center" vertical="center" wrapText="1"/>
    </xf>
    <xf numFmtId="0" fontId="20" fillId="0" borderId="0" xfId="12" applyFont="1" applyFill="1" applyBorder="1" applyAlignment="1">
      <alignment horizontal="left"/>
    </xf>
    <xf numFmtId="0" fontId="20" fillId="0" borderId="105" xfId="12" applyFont="1" applyFill="1" applyBorder="1" applyAlignment="1">
      <alignment horizontal="left"/>
    </xf>
    <xf numFmtId="170" fontId="20" fillId="0" borderId="0" xfId="23" applyNumberFormat="1" applyFont="1" applyFill="1" applyBorder="1" applyAlignment="1">
      <alignment horizontal="left" indent="2"/>
    </xf>
    <xf numFmtId="0" fontId="149" fillId="14" borderId="0" xfId="2" applyFont="1" applyFill="1" applyAlignment="1">
      <alignment vertical="center"/>
    </xf>
    <xf numFmtId="0" fontId="149" fillId="14" borderId="0" xfId="2" applyFont="1" applyFill="1" applyAlignment="1">
      <alignment horizontal="center" vertical="center"/>
    </xf>
    <xf numFmtId="0" fontId="29" fillId="20" borderId="0" xfId="7868" applyFont="1" applyFill="1" applyAlignment="1">
      <alignment horizontal="left" vertical="center"/>
    </xf>
    <xf numFmtId="170" fontId="29" fillId="20" borderId="0" xfId="11" applyNumberFormat="1" applyFont="1" applyFill="1" applyAlignment="1">
      <alignment horizontal="center" vertical="center"/>
    </xf>
    <xf numFmtId="0" fontId="149" fillId="115" borderId="0" xfId="2" applyFont="1" applyFill="1" applyAlignment="1">
      <alignment vertical="center"/>
    </xf>
    <xf numFmtId="0" fontId="0" fillId="0" borderId="0" xfId="0" applyAlignment="1">
      <alignment horizontal="center" vertical="center"/>
    </xf>
    <xf numFmtId="170" fontId="29" fillId="20" borderId="0" xfId="11" applyNumberFormat="1" applyFont="1" applyFill="1" applyAlignment="1">
      <alignment horizontal="left" vertical="center"/>
    </xf>
    <xf numFmtId="0" fontId="20" fillId="0" borderId="105" xfId="12" applyFont="1" applyFill="1" applyBorder="1" applyAlignment="1">
      <alignment horizontal="left" wrapText="1"/>
    </xf>
    <xf numFmtId="0" fontId="183" fillId="14" borderId="0" xfId="0" applyFont="1" applyFill="1" applyAlignment="1">
      <alignment vertical="center"/>
    </xf>
    <xf numFmtId="169" fontId="19" fillId="0" borderId="0" xfId="23" applyNumberFormat="1" applyFont="1" applyFill="1" applyBorder="1" applyAlignment="1">
      <alignment horizontal="right" indent="2"/>
    </xf>
    <xf numFmtId="0" fontId="184" fillId="14" borderId="0" xfId="0" applyFont="1" applyFill="1" applyAlignment="1">
      <alignment vertical="center"/>
    </xf>
    <xf numFmtId="0" fontId="184" fillId="0" borderId="0" xfId="0" applyFont="1" applyAlignment="1">
      <alignment horizontal="center" vertical="center"/>
    </xf>
    <xf numFmtId="0" fontId="150" fillId="14" borderId="0" xfId="0" applyFont="1" applyFill="1" applyAlignment="1">
      <alignment horizontal="center" vertical="center"/>
    </xf>
    <xf numFmtId="0" fontId="150" fillId="14" borderId="0" xfId="0" applyFont="1" applyFill="1" applyAlignment="1">
      <alignment vertical="center"/>
    </xf>
    <xf numFmtId="0" fontId="183" fillId="14" borderId="0" xfId="2" applyFont="1" applyFill="1" applyAlignment="1">
      <alignment vertical="center"/>
    </xf>
    <xf numFmtId="219" fontId="183" fillId="14" borderId="0" xfId="7867" applyNumberFormat="1" applyFont="1" applyFill="1" applyBorder="1" applyAlignment="1">
      <alignment horizontal="center" vertical="center"/>
    </xf>
    <xf numFmtId="170" fontId="183" fillId="14" borderId="0" xfId="5111" applyNumberFormat="1" applyFont="1" applyFill="1" applyBorder="1" applyAlignment="1">
      <alignment horizontal="center" vertical="center"/>
    </xf>
    <xf numFmtId="0" fontId="29" fillId="14" borderId="0" xfId="7868" applyFont="1" applyFill="1" applyAlignment="1">
      <alignment horizontal="left" vertical="center"/>
    </xf>
    <xf numFmtId="219" fontId="29" fillId="14" borderId="0" xfId="7867" applyNumberFormat="1" applyFont="1" applyFill="1" applyBorder="1" applyAlignment="1">
      <alignment horizontal="center" vertical="center"/>
    </xf>
    <xf numFmtId="1" fontId="29" fillId="114" borderId="0" xfId="0" applyNumberFormat="1" applyFont="1" applyFill="1" applyAlignment="1">
      <alignment vertical="center"/>
    </xf>
    <xf numFmtId="0" fontId="162" fillId="16" borderId="0" xfId="0" applyFont="1" applyFill="1" applyBorder="1" applyAlignment="1">
      <alignment horizontal="center" vertical="center" wrapText="1"/>
    </xf>
    <xf numFmtId="0" fontId="161" fillId="117" borderId="0" xfId="0" applyFont="1" applyFill="1" applyBorder="1" applyAlignment="1">
      <alignment horizontal="center" vertical="center" wrapText="1"/>
    </xf>
    <xf numFmtId="0" fontId="185" fillId="0" borderId="0" xfId="0" applyFont="1" applyAlignment="1">
      <alignment horizontal="left" vertical="center"/>
    </xf>
    <xf numFmtId="3" fontId="185" fillId="0" borderId="0" xfId="0" applyNumberFormat="1" applyFont="1" applyAlignment="1">
      <alignment horizontal="center" vertical="center"/>
    </xf>
    <xf numFmtId="175" fontId="185" fillId="0" borderId="0" xfId="0" applyNumberFormat="1" applyFont="1" applyAlignment="1">
      <alignment horizontal="center" vertical="center"/>
    </xf>
    <xf numFmtId="0" fontId="186" fillId="0" borderId="0" xfId="0" applyFont="1" applyAlignment="1">
      <alignment horizontal="left" vertical="center"/>
    </xf>
    <xf numFmtId="0" fontId="160" fillId="14" borderId="0" xfId="0" applyFont="1" applyFill="1"/>
    <xf numFmtId="0" fontId="162" fillId="16" borderId="109" xfId="0" applyFont="1" applyFill="1" applyBorder="1" applyAlignment="1">
      <alignment horizontal="left" vertical="center" wrapText="1"/>
    </xf>
    <xf numFmtId="0" fontId="162" fillId="16" borderId="109" xfId="0" applyFont="1" applyFill="1" applyBorder="1" applyAlignment="1">
      <alignment horizontal="center" vertical="center" wrapText="1"/>
    </xf>
    <xf numFmtId="0" fontId="187" fillId="16" borderId="109" xfId="0" applyFont="1" applyFill="1" applyBorder="1" applyAlignment="1">
      <alignment horizontal="center" vertical="center" wrapText="1"/>
    </xf>
    <xf numFmtId="0" fontId="188" fillId="0" borderId="0" xfId="12" applyFont="1" applyAlignment="1">
      <alignment horizontal="center"/>
    </xf>
    <xf numFmtId="169" fontId="189" fillId="0" borderId="0" xfId="13" applyNumberFormat="1" applyFont="1" applyAlignment="1">
      <alignment horizontal="center"/>
    </xf>
    <xf numFmtId="169" fontId="190" fillId="0" borderId="0" xfId="13" applyNumberFormat="1" applyFont="1" applyAlignment="1">
      <alignment horizontal="center"/>
    </xf>
    <xf numFmtId="170" fontId="190" fillId="0" borderId="105" xfId="13" applyNumberFormat="1" applyFont="1" applyBorder="1" applyAlignment="1">
      <alignment horizontal="center"/>
    </xf>
    <xf numFmtId="169" fontId="190" fillId="0" borderId="105" xfId="13" applyNumberFormat="1" applyFont="1" applyBorder="1" applyAlignment="1">
      <alignment horizontal="center"/>
    </xf>
    <xf numFmtId="0" fontId="191" fillId="0" borderId="0" xfId="0" applyFont="1"/>
    <xf numFmtId="0" fontId="191" fillId="0" borderId="0" xfId="0" applyFont="1" applyAlignment="1">
      <alignment horizontal="center"/>
    </xf>
    <xf numFmtId="0" fontId="192" fillId="10" borderId="6" xfId="0" applyFont="1" applyFill="1" applyBorder="1" applyAlignment="1">
      <alignment vertical="center"/>
    </xf>
    <xf numFmtId="0" fontId="193" fillId="11" borderId="4" xfId="0" applyFont="1" applyFill="1" applyBorder="1" applyAlignment="1">
      <alignment horizontal="right" vertical="center" wrapText="1"/>
    </xf>
    <xf numFmtId="170" fontId="192" fillId="13" borderId="4" xfId="11" applyNumberFormat="1" applyFont="1" applyFill="1" applyBorder="1" applyAlignment="1">
      <alignment horizontal="right" vertical="center" wrapText="1"/>
    </xf>
    <xf numFmtId="170" fontId="194" fillId="11" borderId="3" xfId="11" applyNumberFormat="1" applyFont="1" applyFill="1" applyBorder="1" applyAlignment="1">
      <alignment horizontal="right" vertical="center" wrapText="1"/>
    </xf>
    <xf numFmtId="170" fontId="192" fillId="13" borderId="3" xfId="11" applyNumberFormat="1" applyFont="1" applyFill="1" applyBorder="1" applyAlignment="1">
      <alignment horizontal="right" vertical="center" wrapText="1"/>
    </xf>
    <xf numFmtId="3" fontId="192" fillId="14" borderId="4" xfId="0" applyNumberFormat="1" applyFont="1" applyFill="1" applyBorder="1" applyAlignment="1">
      <alignment horizontal="right" vertical="center" wrapText="1"/>
    </xf>
    <xf numFmtId="0" fontId="192" fillId="10" borderId="4" xfId="0" applyFont="1" applyFill="1" applyBorder="1" applyAlignment="1">
      <alignment horizontal="right" vertical="center"/>
    </xf>
    <xf numFmtId="0" fontId="195" fillId="11" borderId="4" xfId="0" applyFont="1" applyFill="1" applyBorder="1" applyAlignment="1">
      <alignment horizontal="right" vertical="center" wrapText="1"/>
    </xf>
    <xf numFmtId="0" fontId="195" fillId="15" borderId="4" xfId="0" applyFont="1" applyFill="1" applyBorder="1" applyAlignment="1">
      <alignment horizontal="right" vertical="center" wrapText="1"/>
    </xf>
    <xf numFmtId="170" fontId="189" fillId="0" borderId="0" xfId="11" applyNumberFormat="1" applyFont="1" applyAlignment="1">
      <alignment horizontal="center"/>
    </xf>
    <xf numFmtId="0" fontId="173" fillId="0" borderId="109" xfId="12" quotePrefix="1" applyFont="1" applyFill="1" applyBorder="1" applyAlignment="1">
      <alignment horizontal="left" vertical="center" wrapText="1"/>
    </xf>
    <xf numFmtId="169" fontId="188" fillId="0" borderId="0" xfId="12" applyNumberFormat="1" applyFont="1" applyAlignment="1">
      <alignment horizontal="center"/>
    </xf>
    <xf numFmtId="0" fontId="193" fillId="11" borderId="5" xfId="0" applyFont="1" applyFill="1" applyBorder="1" applyAlignment="1">
      <alignment horizontal="right" vertical="center" wrapText="1"/>
    </xf>
    <xf numFmtId="169" fontId="195" fillId="0" borderId="10" xfId="11" applyNumberFormat="1" applyFont="1" applyBorder="1"/>
    <xf numFmtId="169" fontId="195" fillId="0" borderId="0" xfId="11" applyNumberFormat="1" applyFont="1"/>
    <xf numFmtId="169" fontId="195" fillId="0" borderId="97" xfId="11" applyNumberFormat="1" applyFont="1" applyBorder="1"/>
    <xf numFmtId="170" fontId="194" fillId="11" borderId="9" xfId="11" applyNumberFormat="1" applyFont="1" applyFill="1" applyBorder="1" applyAlignment="1">
      <alignment horizontal="right" vertical="center" wrapText="1"/>
    </xf>
    <xf numFmtId="0" fontId="192" fillId="10" borderId="5" xfId="0" applyFont="1" applyFill="1" applyBorder="1" applyAlignment="1">
      <alignment horizontal="right" vertical="center"/>
    </xf>
    <xf numFmtId="0" fontId="195" fillId="11" borderId="5" xfId="0" applyFont="1" applyFill="1" applyBorder="1" applyAlignment="1">
      <alignment horizontal="right" vertical="center" wrapText="1"/>
    </xf>
    <xf numFmtId="169" fontId="196" fillId="14" borderId="0" xfId="13" applyNumberFormat="1" applyFont="1" applyFill="1" applyAlignment="1">
      <alignment horizontal="center"/>
    </xf>
    <xf numFmtId="0" fontId="163" fillId="0" borderId="0" xfId="0" applyFont="1" applyAlignment="1">
      <alignment wrapText="1"/>
    </xf>
    <xf numFmtId="0" fontId="17" fillId="3" borderId="0" xfId="0" applyFont="1" applyFill="1" applyAlignment="1">
      <alignment wrapText="1"/>
    </xf>
    <xf numFmtId="0" fontId="168" fillId="4" borderId="2" xfId="0" applyFont="1" applyFill="1" applyBorder="1" applyAlignment="1">
      <alignment wrapText="1"/>
    </xf>
    <xf numFmtId="0" fontId="166" fillId="5" borderId="5" xfId="0" applyFont="1" applyFill="1" applyBorder="1" applyAlignment="1">
      <alignment wrapText="1"/>
    </xf>
    <xf numFmtId="170" fontId="19" fillId="0" borderId="0" xfId="11" applyNumberFormat="1" applyFont="1" applyFill="1" applyBorder="1" applyAlignment="1">
      <alignment horizontal="right" indent="2"/>
    </xf>
    <xf numFmtId="170" fontId="20" fillId="0" borderId="0" xfId="11" applyNumberFormat="1" applyFont="1" applyFill="1" applyBorder="1" applyAlignment="1">
      <alignment horizontal="right" indent="2"/>
    </xf>
    <xf numFmtId="170" fontId="19" fillId="0" borderId="0" xfId="11" applyNumberFormat="1" applyFont="1" applyFill="1" applyBorder="1" applyAlignment="1">
      <alignment horizontal="left" indent="2"/>
    </xf>
    <xf numFmtId="170" fontId="29" fillId="20" borderId="0" xfId="11" applyNumberFormat="1" applyFont="1" applyFill="1" applyAlignment="1">
      <alignment horizontal="right" vertical="center"/>
    </xf>
    <xf numFmtId="170" fontId="149" fillId="115" borderId="0" xfId="11" applyNumberFormat="1" applyFont="1" applyFill="1" applyAlignment="1">
      <alignment horizontal="right" vertical="center"/>
    </xf>
    <xf numFmtId="170" fontId="149" fillId="14" borderId="0" xfId="11" applyNumberFormat="1" applyFont="1" applyFill="1" applyAlignment="1">
      <alignment horizontal="right" vertical="center"/>
    </xf>
    <xf numFmtId="170" fontId="0" fillId="0" borderId="0" xfId="11" applyNumberFormat="1" applyFont="1" applyAlignment="1">
      <alignment horizontal="right"/>
    </xf>
    <xf numFmtId="170" fontId="150" fillId="14" borderId="0" xfId="11" applyNumberFormat="1" applyFont="1" applyFill="1" applyBorder="1" applyAlignment="1">
      <alignment horizontal="right" vertical="center"/>
    </xf>
    <xf numFmtId="170" fontId="29" fillId="14" borderId="0" xfId="11" applyNumberFormat="1" applyFont="1" applyFill="1" applyBorder="1" applyAlignment="1">
      <alignment horizontal="right" vertical="center"/>
    </xf>
    <xf numFmtId="169" fontId="10" fillId="0" borderId="10" xfId="11" applyNumberFormat="1" applyFont="1" applyFill="1" applyBorder="1"/>
    <xf numFmtId="170" fontId="12" fillId="13" borderId="5" xfId="11" applyNumberFormat="1" applyFont="1" applyFill="1" applyBorder="1" applyAlignment="1">
      <alignment horizontal="right" vertical="center" wrapText="1"/>
    </xf>
    <xf numFmtId="0" fontId="24" fillId="11" borderId="5" xfId="0" applyFont="1" applyFill="1" applyBorder="1" applyAlignment="1">
      <alignment horizontal="right" vertical="center" wrapText="1"/>
    </xf>
    <xf numFmtId="170" fontId="13" fillId="11" borderId="9" xfId="11" applyNumberFormat="1" applyFont="1" applyFill="1" applyBorder="1" applyAlignment="1">
      <alignment horizontal="right" vertical="center" wrapText="1"/>
    </xf>
    <xf numFmtId="170" fontId="12" fillId="13" borderId="9" xfId="11" applyNumberFormat="1"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170" fontId="13" fillId="12" borderId="9" xfId="11" applyNumberFormat="1" applyFont="1" applyFill="1" applyBorder="1" applyAlignment="1">
      <alignment horizontal="right" vertical="center" wrapText="1"/>
    </xf>
    <xf numFmtId="43" fontId="9" fillId="0" borderId="0" xfId="11" applyFont="1"/>
    <xf numFmtId="169" fontId="10" fillId="0" borderId="0" xfId="11" applyNumberFormat="1" applyFont="1" applyFill="1" applyBorder="1"/>
    <xf numFmtId="169" fontId="19" fillId="0" borderId="0" xfId="23" applyNumberFormat="1" applyFont="1" applyFill="1" applyBorder="1" applyAlignment="1">
      <alignment horizontal="center"/>
    </xf>
    <xf numFmtId="170" fontId="20" fillId="0" borderId="105" xfId="23" applyNumberFormat="1" applyFont="1" applyFill="1" applyBorder="1" applyAlignment="1">
      <alignment horizontal="center"/>
    </xf>
    <xf numFmtId="169" fontId="20" fillId="0" borderId="105" xfId="23" applyNumberFormat="1" applyFont="1" applyFill="1" applyBorder="1" applyAlignment="1">
      <alignment horizontal="center"/>
    </xf>
    <xf numFmtId="0" fontId="162" fillId="16" borderId="0" xfId="0" applyFont="1" applyFill="1" applyAlignment="1">
      <alignment horizontal="center" vertical="center" wrapText="1"/>
    </xf>
    <xf numFmtId="170" fontId="19" fillId="14" borderId="0" xfId="11" applyNumberFormat="1" applyFont="1" applyFill="1" applyBorder="1" applyAlignment="1">
      <alignment horizontal="right" indent="2"/>
    </xf>
    <xf numFmtId="0" fontId="0" fillId="0" borderId="0" xfId="0" applyAlignment="1">
      <alignment horizontal="center" vertical="center" wrapText="1"/>
    </xf>
    <xf numFmtId="0" fontId="198" fillId="0" borderId="0" xfId="0" applyFont="1"/>
    <xf numFmtId="8" fontId="27" fillId="0" borderId="0" xfId="0" applyNumberFormat="1" applyFont="1"/>
    <xf numFmtId="0" fontId="162" fillId="3" borderId="0" xfId="0" applyFont="1" applyFill="1" applyAlignment="1">
      <alignment horizontal="center" vertical="center"/>
    </xf>
    <xf numFmtId="0" fontId="18" fillId="3" borderId="0" xfId="0" applyFont="1" applyFill="1" applyAlignment="1">
      <alignment horizontal="center" vertical="center"/>
    </xf>
    <xf numFmtId="0" fontId="12" fillId="4" borderId="2" xfId="0" applyFont="1" applyFill="1" applyBorder="1" applyAlignment="1">
      <alignment vertical="center"/>
    </xf>
    <xf numFmtId="0" fontId="24" fillId="5" borderId="5" xfId="0" applyFont="1" applyFill="1" applyBorder="1" applyAlignment="1">
      <alignment horizontal="right" vertical="center" wrapText="1"/>
    </xf>
    <xf numFmtId="0" fontId="24" fillId="11" borderId="5" xfId="0"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0" fontId="18" fillId="0" borderId="0" xfId="12" applyFont="1" applyFill="1" applyBorder="1" applyAlignment="1">
      <alignment horizontal="center"/>
    </xf>
    <xf numFmtId="0" fontId="168" fillId="4" borderId="2" xfId="0" applyFont="1" applyFill="1" applyBorder="1" applyAlignment="1">
      <alignment vertical="center"/>
    </xf>
    <xf numFmtId="0" fontId="24" fillId="11" borderId="5" xfId="0"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0" fontId="17" fillId="3" borderId="0" xfId="0" applyFont="1" applyFill="1" applyAlignment="1">
      <alignment horizontal="center" vertical="center"/>
    </xf>
    <xf numFmtId="0" fontId="166" fillId="5" borderId="5" xfId="0" applyFont="1" applyFill="1" applyBorder="1" applyAlignment="1">
      <alignment horizontal="right" vertical="center" wrapText="1"/>
    </xf>
    <xf numFmtId="170" fontId="183" fillId="14" borderId="0" xfId="11" applyNumberFormat="1" applyFont="1" applyFill="1" applyBorder="1" applyAlignment="1">
      <alignment horizontal="right" vertical="center"/>
    </xf>
    <xf numFmtId="169" fontId="17" fillId="0" borderId="0" xfId="12" applyNumberFormat="1" applyFont="1" applyAlignment="1">
      <alignment horizontal="center"/>
    </xf>
    <xf numFmtId="169" fontId="164" fillId="0" borderId="105" xfId="13" applyNumberFormat="1" applyFont="1" applyBorder="1" applyAlignment="1">
      <alignment horizontal="center"/>
    </xf>
    <xf numFmtId="169" fontId="23" fillId="0" borderId="10" xfId="11" applyNumberFormat="1" applyFont="1" applyBorder="1"/>
    <xf numFmtId="169" fontId="23" fillId="0" borderId="0" xfId="11" applyNumberFormat="1" applyFont="1"/>
    <xf numFmtId="169" fontId="23" fillId="0" borderId="97" xfId="11" applyNumberFormat="1" applyFont="1" applyBorder="1"/>
    <xf numFmtId="170" fontId="163" fillId="0" borderId="0" xfId="11" applyNumberFormat="1" applyFont="1" applyAlignment="1">
      <alignment horizontal="center"/>
    </xf>
    <xf numFmtId="3" fontId="163" fillId="0" borderId="0" xfId="0" applyNumberFormat="1" applyFont="1" applyAlignment="1">
      <alignment wrapText="1"/>
    </xf>
    <xf numFmtId="3" fontId="164" fillId="0" borderId="105" xfId="0" applyNumberFormat="1" applyFont="1" applyBorder="1" applyAlignment="1">
      <alignment wrapText="1"/>
    </xf>
    <xf numFmtId="0" fontId="164" fillId="0" borderId="0" xfId="0" applyFont="1" applyAlignment="1">
      <alignment wrapText="1"/>
    </xf>
    <xf numFmtId="0" fontId="200" fillId="0" borderId="0" xfId="0" applyFont="1" applyAlignment="1">
      <alignment wrapText="1"/>
    </xf>
    <xf numFmtId="3" fontId="163" fillId="0" borderId="0" xfId="0" applyNumberFormat="1" applyFont="1" applyAlignment="1">
      <alignment horizontal="right" wrapText="1"/>
    </xf>
    <xf numFmtId="0" fontId="163" fillId="0" borderId="0" xfId="0" applyFont="1" applyAlignment="1">
      <alignment horizontal="right" wrapText="1"/>
    </xf>
    <xf numFmtId="3" fontId="164" fillId="0" borderId="105" xfId="0" applyNumberFormat="1" applyFont="1" applyBorder="1" applyAlignment="1">
      <alignment horizontal="right" wrapText="1"/>
    </xf>
    <xf numFmtId="0" fontId="17" fillId="0" borderId="0" xfId="0" applyFont="1" applyAlignment="1">
      <alignment horizontal="right" wrapText="1"/>
    </xf>
    <xf numFmtId="0" fontId="0" fillId="0" borderId="0" xfId="0" applyAlignment="1">
      <alignment horizontal="right"/>
    </xf>
    <xf numFmtId="0" fontId="17" fillId="3" borderId="0" xfId="0" applyFont="1" applyFill="1" applyAlignment="1">
      <alignment horizontal="right" wrapText="1"/>
    </xf>
    <xf numFmtId="0" fontId="168" fillId="4" borderId="2" xfId="0" applyFont="1" applyFill="1" applyBorder="1" applyAlignment="1">
      <alignment horizontal="right" wrapText="1"/>
    </xf>
    <xf numFmtId="0" fontId="166" fillId="5" borderId="5" xfId="0" applyFont="1" applyFill="1" applyBorder="1" applyAlignment="1">
      <alignment horizontal="right" wrapText="1"/>
    </xf>
    <xf numFmtId="3" fontId="23" fillId="0" borderId="7" xfId="0" applyNumberFormat="1" applyFont="1" applyBorder="1" applyAlignment="1">
      <alignment horizontal="right" wrapText="1"/>
    </xf>
    <xf numFmtId="3" fontId="23" fillId="0" borderId="110" xfId="0" applyNumberFormat="1" applyFont="1" applyBorder="1" applyAlignment="1">
      <alignment horizontal="right" wrapText="1"/>
    </xf>
    <xf numFmtId="0" fontId="23" fillId="0" borderId="110" xfId="0" applyFont="1" applyBorder="1" applyAlignment="1">
      <alignment horizontal="right" wrapText="1"/>
    </xf>
    <xf numFmtId="3" fontId="168" fillId="7" borderId="5" xfId="0" applyNumberFormat="1" applyFont="1" applyFill="1" applyBorder="1" applyAlignment="1">
      <alignment horizontal="right" wrapText="1"/>
    </xf>
    <xf numFmtId="0" fontId="23" fillId="0" borderId="7" xfId="0" applyFont="1" applyBorder="1" applyAlignment="1">
      <alignment horizontal="right" wrapText="1"/>
    </xf>
    <xf numFmtId="3" fontId="169" fillId="5" borderId="9" xfId="0" applyNumberFormat="1" applyFont="1" applyFill="1" applyBorder="1" applyAlignment="1">
      <alignment horizontal="right" wrapText="1"/>
    </xf>
    <xf numFmtId="0" fontId="168" fillId="2" borderId="5" xfId="0" applyFont="1" applyFill="1" applyBorder="1" applyAlignment="1">
      <alignment horizontal="right" wrapText="1"/>
    </xf>
    <xf numFmtId="0" fontId="168" fillId="4" borderId="5" xfId="0" applyFont="1" applyFill="1" applyBorder="1" applyAlignment="1">
      <alignment horizontal="right" wrapText="1"/>
    </xf>
    <xf numFmtId="0" fontId="23" fillId="5" borderId="5" xfId="0" applyFont="1" applyFill="1" applyBorder="1" applyAlignment="1">
      <alignment horizontal="right" wrapText="1"/>
    </xf>
    <xf numFmtId="169" fontId="23" fillId="0" borderId="7" xfId="11" applyNumberFormat="1" applyFont="1" applyFill="1" applyBorder="1" applyAlignment="1">
      <alignment horizontal="right"/>
    </xf>
    <xf numFmtId="0" fontId="197" fillId="0" borderId="0" xfId="0" applyFont="1" applyAlignment="1">
      <alignment horizontal="right" wrapText="1"/>
    </xf>
    <xf numFmtId="169" fontId="163" fillId="0" borderId="0" xfId="13" applyNumberFormat="1" applyFont="1" applyFill="1" applyBorder="1" applyAlignment="1">
      <alignment horizontal="right"/>
    </xf>
    <xf numFmtId="170" fontId="164" fillId="0" borderId="105" xfId="13" applyNumberFormat="1" applyFont="1" applyFill="1" applyBorder="1" applyAlignment="1">
      <alignment horizontal="right"/>
    </xf>
    <xf numFmtId="0" fontId="17" fillId="0" borderId="0" xfId="12" applyFont="1" applyFill="1" applyBorder="1" applyAlignment="1">
      <alignment horizontal="right"/>
    </xf>
    <xf numFmtId="169" fontId="164" fillId="0" borderId="105" xfId="13" applyNumberFormat="1" applyFont="1" applyFill="1" applyBorder="1" applyAlignment="1">
      <alignment horizontal="right"/>
    </xf>
    <xf numFmtId="3" fontId="168" fillId="7" borderId="9" xfId="0" applyNumberFormat="1" applyFont="1" applyFill="1" applyBorder="1" applyAlignment="1">
      <alignment horizontal="right" wrapText="1"/>
    </xf>
    <xf numFmtId="3" fontId="201" fillId="2" borderId="5" xfId="0" applyNumberFormat="1" applyFont="1" applyFill="1" applyBorder="1" applyAlignment="1">
      <alignment horizontal="right" vertical="center" wrapText="1"/>
    </xf>
    <xf numFmtId="170" fontId="15" fillId="0" borderId="0" xfId="0" applyNumberFormat="1" applyFont="1" applyAlignment="1">
      <alignment horizontal="right" wrapText="1"/>
    </xf>
    <xf numFmtId="0" fontId="25" fillId="16" borderId="109" xfId="0" applyFont="1" applyFill="1" applyBorder="1" applyAlignment="1">
      <alignment horizontal="left" vertical="center" wrapText="1"/>
    </xf>
    <xf numFmtId="0" fontId="25" fillId="16" borderId="109" xfId="0" applyFont="1" applyFill="1" applyBorder="1" applyAlignment="1">
      <alignment horizontal="center" vertical="center" wrapText="1"/>
    </xf>
    <xf numFmtId="0" fontId="18" fillId="0" borderId="0" xfId="12" applyFont="1" applyBorder="1" applyAlignment="1">
      <alignment horizontal="left"/>
    </xf>
    <xf numFmtId="0" fontId="18" fillId="0" borderId="0" xfId="12" applyFont="1" applyBorder="1" applyAlignment="1">
      <alignment horizontal="center"/>
    </xf>
    <xf numFmtId="0" fontId="18" fillId="0" borderId="0" xfId="12" applyFont="1" applyFill="1" applyBorder="1" applyAlignment="1">
      <alignment horizontal="left"/>
    </xf>
    <xf numFmtId="0" fontId="202" fillId="0" borderId="109" xfId="12" quotePrefix="1" applyFont="1" applyFill="1" applyBorder="1" applyAlignment="1">
      <alignment horizontal="left" vertical="center" wrapText="1"/>
    </xf>
    <xf numFmtId="0" fontId="12" fillId="13" borderId="8" xfId="0" applyFont="1" applyFill="1" applyBorder="1" applyAlignment="1">
      <alignment vertical="center"/>
    </xf>
    <xf numFmtId="0" fontId="13" fillId="11" borderId="3" xfId="0" applyFont="1" applyFill="1" applyBorder="1" applyAlignment="1">
      <alignment vertical="center" wrapText="1"/>
    </xf>
    <xf numFmtId="0" fontId="12" fillId="13" borderId="0" xfId="0" applyFont="1" applyFill="1" applyAlignment="1">
      <alignment vertical="center"/>
    </xf>
    <xf numFmtId="0" fontId="12" fillId="14" borderId="0" xfId="0" applyFont="1" applyFill="1" applyAlignment="1">
      <alignment vertical="center"/>
    </xf>
    <xf numFmtId="0" fontId="12" fillId="10" borderId="2" xfId="0" applyFont="1" applyFill="1" applyBorder="1" applyAlignment="1">
      <alignment vertical="center"/>
    </xf>
    <xf numFmtId="0" fontId="13" fillId="15" borderId="3" xfId="0" applyFont="1" applyFill="1" applyBorder="1" applyAlignment="1">
      <alignment vertical="center" wrapText="1"/>
    </xf>
    <xf numFmtId="0" fontId="13" fillId="15" borderId="2" xfId="0" applyFont="1" applyFill="1" applyBorder="1" applyAlignment="1">
      <alignment vertical="center" wrapText="1"/>
    </xf>
    <xf numFmtId="0" fontId="12" fillId="13" borderId="6" xfId="0" applyFont="1" applyFill="1" applyBorder="1" applyAlignment="1">
      <alignment vertical="center"/>
    </xf>
    <xf numFmtId="0" fontId="10" fillId="0" borderId="3" xfId="0" applyFont="1" applyFill="1" applyBorder="1" applyAlignment="1">
      <alignment horizontal="left" vertical="center" wrapText="1" indent="1"/>
    </xf>
    <xf numFmtId="170" fontId="168" fillId="7" borderId="9" xfId="11" applyNumberFormat="1" applyFont="1" applyFill="1" applyBorder="1" applyAlignment="1">
      <alignment horizontal="right" wrapText="1"/>
    </xf>
    <xf numFmtId="170" fontId="29" fillId="114" borderId="0" xfId="11" applyNumberFormat="1" applyFont="1" applyFill="1" applyAlignment="1">
      <alignment horizontal="center" vertical="center" wrapText="1"/>
    </xf>
    <xf numFmtId="0" fontId="29" fillId="120" borderId="102" xfId="0" applyFont="1" applyFill="1" applyBorder="1" applyAlignment="1">
      <alignment horizontal="center" vertical="center" wrapText="1"/>
    </xf>
    <xf numFmtId="9" fontId="185" fillId="0" borderId="103" xfId="0" applyNumberFormat="1" applyFont="1" applyBorder="1" applyAlignment="1">
      <alignment horizontal="center" vertical="center"/>
    </xf>
    <xf numFmtId="0" fontId="185" fillId="0" borderId="104" xfId="0" applyFont="1" applyBorder="1" applyAlignment="1">
      <alignment horizontal="left" vertical="center"/>
    </xf>
    <xf numFmtId="3" fontId="185" fillId="0" borderId="104" xfId="0" applyNumberFormat="1" applyFont="1" applyBorder="1" applyAlignment="1">
      <alignment horizontal="center" vertical="center"/>
    </xf>
    <xf numFmtId="14" fontId="185" fillId="0" borderId="104" xfId="0" applyNumberFormat="1" applyFont="1" applyBorder="1" applyAlignment="1">
      <alignment horizontal="center" vertical="center"/>
    </xf>
    <xf numFmtId="175" fontId="185" fillId="0" borderId="104" xfId="0" applyNumberFormat="1" applyFont="1" applyBorder="1" applyAlignment="1">
      <alignment horizontal="center" vertical="center"/>
    </xf>
    <xf numFmtId="0" fontId="186" fillId="0" borderId="0" xfId="0" applyFont="1" applyBorder="1" applyAlignment="1">
      <alignment horizontal="left" vertical="center"/>
    </xf>
    <xf numFmtId="0" fontId="185" fillId="0" borderId="0" xfId="0" applyFont="1" applyBorder="1" applyAlignment="1">
      <alignment horizontal="left" vertical="center"/>
    </xf>
    <xf numFmtId="3" fontId="185" fillId="0" borderId="0" xfId="0" applyNumberFormat="1" applyFont="1" applyBorder="1" applyAlignment="1">
      <alignment horizontal="center" vertical="center"/>
    </xf>
    <xf numFmtId="14" fontId="185" fillId="0" borderId="0" xfId="0" applyNumberFormat="1" applyFont="1" applyBorder="1" applyAlignment="1">
      <alignment horizontal="center" vertical="center"/>
    </xf>
    <xf numFmtId="175" fontId="185" fillId="0" borderId="0" xfId="0" applyNumberFormat="1" applyFont="1" applyBorder="1" applyAlignment="1">
      <alignment horizontal="center" vertical="center"/>
    </xf>
    <xf numFmtId="0" fontId="29" fillId="9" borderId="14" xfId="7873" applyFont="1" applyFill="1" applyBorder="1" applyAlignment="1">
      <alignment horizontal="center" vertical="center" wrapText="1"/>
    </xf>
    <xf numFmtId="0" fontId="29" fillId="9" borderId="16" xfId="7873" applyFont="1" applyFill="1" applyBorder="1" applyAlignment="1">
      <alignment horizontal="center" vertical="center" wrapText="1"/>
    </xf>
    <xf numFmtId="0" fontId="29" fillId="9" borderId="17" xfId="7873" applyFont="1" applyFill="1" applyBorder="1" applyAlignment="1">
      <alignment horizontal="center" vertical="center" wrapText="1"/>
    </xf>
    <xf numFmtId="0" fontId="32" fillId="14" borderId="0" xfId="7873" applyFont="1" applyFill="1" applyAlignment="1">
      <alignment horizontal="center"/>
    </xf>
    <xf numFmtId="0" fontId="31" fillId="14" borderId="0" xfId="7873" applyFont="1" applyFill="1" applyAlignment="1">
      <alignment horizontal="center" vertical="center" wrapText="1"/>
    </xf>
    <xf numFmtId="0" fontId="25" fillId="17" borderId="18" xfId="7873" applyFont="1" applyFill="1" applyBorder="1" applyAlignment="1">
      <alignment vertical="center" wrapText="1"/>
    </xf>
    <xf numFmtId="0" fontId="25" fillId="17" borderId="18" xfId="7873" applyFont="1" applyFill="1" applyBorder="1" applyAlignment="1">
      <alignment horizontal="left" vertical="center" wrapText="1"/>
    </xf>
    <xf numFmtId="173" fontId="25" fillId="17" borderId="18" xfId="7873" applyNumberFormat="1" applyFont="1" applyFill="1" applyBorder="1" applyAlignment="1">
      <alignment horizontal="right" vertical="center" wrapText="1"/>
    </xf>
    <xf numFmtId="169" fontId="25" fillId="17" borderId="18" xfId="7874" applyNumberFormat="1" applyFont="1" applyFill="1" applyBorder="1" applyAlignment="1">
      <alignment horizontal="right" vertical="center" wrapText="1"/>
    </xf>
    <xf numFmtId="0" fontId="31" fillId="14" borderId="27" xfId="7873" applyFont="1" applyFill="1" applyBorder="1" applyAlignment="1">
      <alignment horizontal="left" vertical="center" wrapText="1"/>
    </xf>
    <xf numFmtId="173" fontId="31" fillId="14" borderId="0" xfId="7873" applyNumberFormat="1" applyFont="1" applyFill="1" applyAlignment="1">
      <alignment horizontal="right" vertical="center" wrapText="1"/>
    </xf>
    <xf numFmtId="169" fontId="31" fillId="14" borderId="0" xfId="7874" applyNumberFormat="1" applyFont="1" applyFill="1" applyBorder="1" applyAlignment="1">
      <alignment horizontal="right" vertical="center" wrapText="1"/>
    </xf>
    <xf numFmtId="0" fontId="30" fillId="18" borderId="20" xfId="7873" applyFont="1" applyFill="1" applyBorder="1" applyAlignment="1">
      <alignment horizontal="left" vertical="center" indent="1"/>
    </xf>
    <xf numFmtId="171" fontId="30" fillId="18" borderId="20" xfId="7874" applyNumberFormat="1" applyFont="1" applyFill="1" applyBorder="1" applyAlignment="1">
      <alignment horizontal="center"/>
    </xf>
    <xf numFmtId="14" fontId="30" fillId="18" borderId="20" xfId="7874" applyNumberFormat="1" applyFont="1" applyFill="1" applyBorder="1" applyAlignment="1">
      <alignment horizontal="center"/>
    </xf>
    <xf numFmtId="1" fontId="30" fillId="14" borderId="20" xfId="7873" applyNumberFormat="1" applyFont="1" applyFill="1" applyBorder="1" applyAlignment="1">
      <alignment horizontal="center"/>
    </xf>
    <xf numFmtId="9" fontId="30" fillId="18" borderId="21" xfId="7875" applyFont="1" applyFill="1" applyBorder="1" applyAlignment="1">
      <alignment horizontal="right"/>
    </xf>
    <xf numFmtId="9" fontId="30" fillId="18" borderId="22" xfId="7875" applyFont="1" applyFill="1" applyBorder="1" applyAlignment="1">
      <alignment horizontal="center"/>
    </xf>
    <xf numFmtId="10" fontId="30" fillId="18" borderId="23" xfId="7875" applyNumberFormat="1" applyFont="1" applyFill="1" applyBorder="1" applyAlignment="1">
      <alignment horizontal="left"/>
    </xf>
    <xf numFmtId="169" fontId="30" fillId="14" borderId="20" xfId="7874" applyNumberFormat="1" applyFont="1" applyFill="1" applyBorder="1"/>
    <xf numFmtId="173" fontId="30" fillId="14" borderId="23" xfId="7874" applyNumberFormat="1" applyFont="1" applyFill="1" applyBorder="1"/>
    <xf numFmtId="3" fontId="30" fillId="14" borderId="23" xfId="7874" applyNumberFormat="1" applyFont="1" applyFill="1" applyBorder="1"/>
    <xf numFmtId="0" fontId="30" fillId="14" borderId="26" xfId="7873" applyFont="1" applyFill="1" applyBorder="1"/>
    <xf numFmtId="174" fontId="30" fillId="14" borderId="0" xfId="7873" applyNumberFormat="1" applyFont="1" applyFill="1" applyAlignment="1">
      <alignment horizontal="center"/>
    </xf>
    <xf numFmtId="173" fontId="31" fillId="19" borderId="20" xfId="7873" applyNumberFormat="1" applyFont="1" applyFill="1" applyBorder="1" applyAlignment="1">
      <alignment horizontal="right" vertical="center" wrapText="1"/>
    </xf>
    <xf numFmtId="169" fontId="31" fillId="19" borderId="20" xfId="7874" applyNumberFormat="1" applyFont="1" applyFill="1" applyBorder="1" applyAlignment="1">
      <alignment horizontal="right" vertical="center" wrapText="1"/>
    </xf>
    <xf numFmtId="0" fontId="24" fillId="14" borderId="20" xfId="7873" applyFont="1" applyFill="1" applyBorder="1" applyAlignment="1">
      <alignment horizontal="center" vertical="center"/>
    </xf>
    <xf numFmtId="0" fontId="30" fillId="14" borderId="0" xfId="7873" applyFont="1" applyFill="1" applyAlignment="1">
      <alignment horizontal="center" vertical="center"/>
    </xf>
    <xf numFmtId="0" fontId="30" fillId="18" borderId="0" xfId="7873" applyFont="1" applyFill="1" applyAlignment="1">
      <alignment horizontal="left" vertical="center" indent="1"/>
    </xf>
    <xf numFmtId="171" fontId="30" fillId="18" borderId="0" xfId="7874" applyNumberFormat="1" applyFont="1" applyFill="1" applyBorder="1" applyAlignment="1">
      <alignment horizontal="center"/>
    </xf>
    <xf numFmtId="14" fontId="30" fillId="18" borderId="0" xfId="7874" applyNumberFormat="1" applyFont="1" applyFill="1" applyBorder="1" applyAlignment="1">
      <alignment horizontal="center"/>
    </xf>
    <xf numFmtId="14" fontId="30" fillId="0" borderId="0" xfId="7874" applyNumberFormat="1" applyFont="1" applyFill="1" applyBorder="1" applyAlignment="1">
      <alignment horizontal="center"/>
    </xf>
    <xf numFmtId="1" fontId="30" fillId="14" borderId="0" xfId="7873" applyNumberFormat="1" applyFont="1" applyFill="1" applyAlignment="1">
      <alignment horizontal="center"/>
    </xf>
    <xf numFmtId="9" fontId="30" fillId="0" borderId="0" xfId="7875" applyFont="1" applyFill="1" applyBorder="1" applyAlignment="1">
      <alignment horizontal="right"/>
    </xf>
    <xf numFmtId="0" fontId="30" fillId="18" borderId="0" xfId="7875" applyNumberFormat="1" applyFont="1" applyFill="1" applyBorder="1" applyAlignment="1">
      <alignment horizontal="center" vertical="center" wrapText="1"/>
    </xf>
    <xf numFmtId="174" fontId="30" fillId="18" borderId="0" xfId="7875" applyNumberFormat="1" applyFont="1" applyFill="1" applyBorder="1" applyAlignment="1">
      <alignment horizontal="left"/>
    </xf>
    <xf numFmtId="169" fontId="30" fillId="14" borderId="0" xfId="7874" applyNumberFormat="1" applyFont="1" applyFill="1" applyBorder="1"/>
    <xf numFmtId="0" fontId="30" fillId="14" borderId="20" xfId="7873" applyFont="1" applyFill="1" applyBorder="1" applyAlignment="1">
      <alignment horizontal="left" vertical="center"/>
    </xf>
    <xf numFmtId="0" fontId="30" fillId="14" borderId="20" xfId="7873" applyFont="1" applyFill="1" applyBorder="1" applyAlignment="1">
      <alignment horizontal="center" vertical="center"/>
    </xf>
    <xf numFmtId="174" fontId="30" fillId="18" borderId="23" xfId="7875" applyNumberFormat="1" applyFont="1" applyFill="1" applyBorder="1" applyAlignment="1">
      <alignment horizontal="left"/>
    </xf>
    <xf numFmtId="0" fontId="31" fillId="14" borderId="0" xfId="7873" applyFont="1" applyFill="1" applyAlignment="1">
      <alignment horizontal="left" vertical="center" wrapText="1"/>
    </xf>
    <xf numFmtId="0" fontId="30" fillId="0" borderId="20" xfId="7873" applyFont="1" applyBorder="1" applyAlignment="1">
      <alignment horizontal="left" vertical="center" indent="1"/>
    </xf>
    <xf numFmtId="171" fontId="30" fillId="0" borderId="20" xfId="7874" applyNumberFormat="1" applyFont="1" applyFill="1" applyBorder="1" applyAlignment="1">
      <alignment horizontal="center"/>
    </xf>
    <xf numFmtId="14" fontId="30" fillId="0" borderId="20" xfId="7874" applyNumberFormat="1" applyFont="1" applyFill="1" applyBorder="1" applyAlignment="1">
      <alignment horizontal="center"/>
    </xf>
    <xf numFmtId="1" fontId="30" fillId="0" borderId="20" xfId="7873" applyNumberFormat="1" applyFont="1" applyBorder="1" applyAlignment="1">
      <alignment horizontal="center"/>
    </xf>
    <xf numFmtId="9" fontId="30" fillId="0" borderId="21" xfId="7875" applyFont="1" applyFill="1" applyBorder="1" applyAlignment="1">
      <alignment horizontal="right"/>
    </xf>
    <xf numFmtId="0" fontId="30" fillId="18" borderId="22" xfId="19" applyNumberFormat="1" applyFont="1" applyFill="1" applyBorder="1" applyAlignment="1">
      <alignment horizontal="center" vertical="center" wrapText="1"/>
    </xf>
    <xf numFmtId="174" fontId="30" fillId="0" borderId="23" xfId="7875" applyNumberFormat="1" applyFont="1" applyFill="1" applyBorder="1" applyAlignment="1">
      <alignment horizontal="left"/>
    </xf>
    <xf numFmtId="169" fontId="30" fillId="0" borderId="20" xfId="7874" applyNumberFormat="1" applyFont="1" applyFill="1" applyBorder="1"/>
    <xf numFmtId="173" fontId="30" fillId="0" borderId="20" xfId="7874" applyNumberFormat="1" applyFont="1" applyFill="1" applyBorder="1"/>
    <xf numFmtId="9" fontId="30" fillId="18" borderId="0" xfId="7875" applyFont="1" applyFill="1" applyBorder="1" applyAlignment="1">
      <alignment horizontal="center"/>
    </xf>
    <xf numFmtId="174" fontId="30" fillId="18" borderId="0" xfId="7875" applyNumberFormat="1" applyFont="1" applyFill="1" applyBorder="1" applyAlignment="1">
      <alignment horizontal="center"/>
    </xf>
    <xf numFmtId="174" fontId="30" fillId="18" borderId="0" xfId="7874" applyNumberFormat="1" applyFont="1" applyFill="1" applyBorder="1" applyAlignment="1">
      <alignment horizontal="center"/>
    </xf>
    <xf numFmtId="0" fontId="30" fillId="14" borderId="29" xfId="7873" applyFont="1" applyFill="1" applyBorder="1" applyAlignment="1">
      <alignment horizontal="center" vertical="center"/>
    </xf>
    <xf numFmtId="174" fontId="31" fillId="14" borderId="0" xfId="7873" applyNumberFormat="1" applyFont="1" applyFill="1" applyAlignment="1">
      <alignment horizontal="center" vertical="center" wrapText="1"/>
    </xf>
    <xf numFmtId="10" fontId="30" fillId="14" borderId="0" xfId="7873" applyNumberFormat="1" applyFont="1" applyFill="1" applyAlignment="1">
      <alignment horizontal="right"/>
    </xf>
    <xf numFmtId="10" fontId="30" fillId="14" borderId="0" xfId="7873" applyNumberFormat="1" applyFont="1" applyFill="1" applyAlignment="1">
      <alignment horizontal="center"/>
    </xf>
    <xf numFmtId="174" fontId="30" fillId="14" borderId="0" xfId="7873" applyNumberFormat="1" applyFont="1" applyFill="1" applyAlignment="1">
      <alignment horizontal="left"/>
    </xf>
    <xf numFmtId="173" fontId="30" fillId="14" borderId="20" xfId="7874" applyNumberFormat="1" applyFont="1" applyFill="1" applyBorder="1"/>
    <xf numFmtId="9" fontId="30" fillId="18" borderId="22" xfId="7875" applyFont="1" applyFill="1" applyBorder="1" applyAlignment="1">
      <alignment horizontal="right"/>
    </xf>
    <xf numFmtId="173" fontId="25" fillId="20" borderId="18" xfId="7873" applyNumberFormat="1" applyFont="1" applyFill="1" applyBorder="1" applyAlignment="1">
      <alignment horizontal="right" vertical="center" wrapText="1"/>
    </xf>
    <xf numFmtId="0" fontId="30" fillId="14" borderId="0" xfId="7873" applyFont="1" applyFill="1"/>
    <xf numFmtId="169" fontId="30" fillId="14" borderId="0" xfId="7873" applyNumberFormat="1" applyFont="1" applyFill="1"/>
    <xf numFmtId="4" fontId="30" fillId="14" borderId="0" xfId="7873" applyNumberFormat="1" applyFont="1" applyFill="1" applyAlignment="1">
      <alignment horizontal="center"/>
    </xf>
    <xf numFmtId="43" fontId="30" fillId="14" borderId="0" xfId="7873" applyNumberFormat="1" applyFont="1" applyFill="1"/>
    <xf numFmtId="0" fontId="30" fillId="14" borderId="20" xfId="7873" applyFont="1" applyFill="1" applyBorder="1" applyAlignment="1">
      <alignment horizontal="center" vertical="center" wrapText="1"/>
    </xf>
    <xf numFmtId="0" fontId="4" fillId="0" borderId="0" xfId="22"/>
    <xf numFmtId="43" fontId="30" fillId="14" borderId="0" xfId="7873" applyNumberFormat="1" applyFont="1" applyFill="1" applyAlignment="1">
      <alignment horizontal="center"/>
    </xf>
    <xf numFmtId="0" fontId="30" fillId="14" borderId="0" xfId="7873" applyFont="1" applyFill="1" applyAlignment="1">
      <alignment horizontal="center"/>
    </xf>
    <xf numFmtId="0" fontId="30" fillId="18" borderId="22" xfId="7875" applyNumberFormat="1" applyFont="1" applyFill="1" applyBorder="1" applyAlignment="1">
      <alignment horizontal="center" vertical="center" wrapText="1"/>
    </xf>
    <xf numFmtId="0" fontId="30" fillId="14" borderId="0" xfId="7873" applyFont="1" applyFill="1" applyAlignment="1">
      <alignment horizontal="right"/>
    </xf>
    <xf numFmtId="174" fontId="30" fillId="0" borderId="0" xfId="7873" applyNumberFormat="1" applyFont="1" applyAlignment="1">
      <alignment horizontal="left"/>
    </xf>
    <xf numFmtId="0" fontId="30" fillId="14" borderId="20" xfId="7873" applyFont="1" applyFill="1" applyBorder="1" applyAlignment="1">
      <alignment vertical="center"/>
    </xf>
    <xf numFmtId="176" fontId="30" fillId="14" borderId="23" xfId="3727" applyNumberFormat="1" applyFont="1" applyFill="1" applyBorder="1" applyAlignment="1">
      <alignment horizontal="center"/>
    </xf>
    <xf numFmtId="174" fontId="30" fillId="0" borderId="0" xfId="7875" applyNumberFormat="1" applyFont="1" applyFill="1" applyBorder="1" applyAlignment="1">
      <alignment horizontal="left"/>
    </xf>
    <xf numFmtId="171" fontId="30" fillId="18" borderId="0" xfId="7874" applyNumberFormat="1" applyFont="1" applyFill="1" applyBorder="1" applyAlignment="1"/>
    <xf numFmtId="1" fontId="30" fillId="18" borderId="0" xfId="7874" applyNumberFormat="1" applyFont="1" applyFill="1" applyBorder="1" applyAlignment="1">
      <alignment horizontal="center"/>
    </xf>
    <xf numFmtId="10" fontId="30" fillId="18" borderId="0" xfId="7875" applyNumberFormat="1" applyFont="1" applyFill="1" applyBorder="1" applyAlignment="1">
      <alignment horizontal="right"/>
    </xf>
    <xf numFmtId="10" fontId="30" fillId="18" borderId="0" xfId="7875" applyNumberFormat="1" applyFont="1" applyFill="1" applyBorder="1" applyAlignment="1">
      <alignment horizontal="center"/>
    </xf>
    <xf numFmtId="175" fontId="30" fillId="14" borderId="20" xfId="7873" applyNumberFormat="1" applyFont="1" applyFill="1" applyBorder="1" applyAlignment="1">
      <alignment horizontal="center"/>
    </xf>
    <xf numFmtId="0" fontId="31" fillId="14" borderId="0" xfId="7873" applyFont="1" applyFill="1" applyAlignment="1">
      <alignment vertical="center" wrapText="1"/>
    </xf>
    <xf numFmtId="0" fontId="30" fillId="0" borderId="22" xfId="7875" applyNumberFormat="1" applyFont="1" applyFill="1" applyBorder="1" applyAlignment="1">
      <alignment horizontal="center" vertical="center" wrapText="1"/>
    </xf>
    <xf numFmtId="0" fontId="30" fillId="14" borderId="26" xfId="7873" applyFont="1" applyFill="1" applyBorder="1" applyAlignment="1">
      <alignment horizontal="center" vertical="center"/>
    </xf>
    <xf numFmtId="174" fontId="30" fillId="0" borderId="0" xfId="7875" applyNumberFormat="1" applyFont="1" applyFill="1" applyBorder="1" applyAlignment="1">
      <alignment horizontal="center"/>
    </xf>
    <xf numFmtId="0" fontId="31" fillId="0" borderId="0" xfId="7873" applyFont="1" applyAlignment="1">
      <alignment horizontal="center" vertical="center" wrapText="1"/>
    </xf>
    <xf numFmtId="0" fontId="30" fillId="18" borderId="0" xfId="7873" applyFont="1" applyFill="1" applyAlignment="1">
      <alignment horizontal="left" vertical="center" wrapText="1"/>
    </xf>
    <xf numFmtId="171" fontId="30" fillId="18" borderId="0" xfId="7874" applyNumberFormat="1" applyFont="1" applyFill="1" applyBorder="1" applyAlignment="1">
      <alignment vertical="center" wrapText="1"/>
    </xf>
    <xf numFmtId="14" fontId="30" fillId="18" borderId="0" xfId="7874" applyNumberFormat="1" applyFont="1" applyFill="1" applyBorder="1" applyAlignment="1">
      <alignment horizontal="center" vertical="center" wrapText="1"/>
    </xf>
    <xf numFmtId="171" fontId="30" fillId="18" borderId="0" xfId="7874" applyNumberFormat="1" applyFont="1" applyFill="1" applyBorder="1" applyAlignment="1">
      <alignment horizontal="center" vertical="center" wrapText="1"/>
    </xf>
    <xf numFmtId="9" fontId="30" fillId="18" borderId="0" xfId="7875" applyFont="1" applyFill="1" applyBorder="1" applyAlignment="1">
      <alignment horizontal="right" vertical="center" wrapText="1"/>
    </xf>
    <xf numFmtId="9" fontId="30" fillId="18" borderId="0" xfId="7875" applyFont="1" applyFill="1" applyBorder="1" applyAlignment="1">
      <alignment horizontal="center" vertical="center" wrapText="1"/>
    </xf>
    <xf numFmtId="174" fontId="30" fillId="18" borderId="0" xfId="7875" applyNumberFormat="1" applyFont="1" applyFill="1" applyBorder="1" applyAlignment="1">
      <alignment horizontal="left" vertical="center" wrapText="1"/>
    </xf>
    <xf numFmtId="174" fontId="30" fillId="0" borderId="0" xfId="7875" applyNumberFormat="1" applyFont="1" applyFill="1" applyBorder="1" applyAlignment="1">
      <alignment horizontal="left" vertical="center" wrapText="1"/>
    </xf>
    <xf numFmtId="0" fontId="30" fillId="0" borderId="20" xfId="7873" applyFont="1" applyBorder="1" applyAlignment="1">
      <alignment horizontal="center" vertical="center"/>
    </xf>
    <xf numFmtId="171" fontId="30" fillId="18" borderId="0" xfId="7873" applyNumberFormat="1" applyFont="1" applyFill="1" applyAlignment="1">
      <alignment horizontal="left" vertical="center" indent="1"/>
    </xf>
    <xf numFmtId="173" fontId="31" fillId="14" borderId="0" xfId="7873" applyNumberFormat="1" applyFont="1" applyFill="1" applyAlignment="1">
      <alignment horizontal="center" vertical="center" wrapText="1"/>
    </xf>
    <xf numFmtId="0" fontId="30" fillId="0" borderId="0" xfId="7873" applyFont="1" applyAlignment="1">
      <alignment horizontal="left" vertical="center" indent="1"/>
    </xf>
    <xf numFmtId="1" fontId="30" fillId="0" borderId="0" xfId="7873" applyNumberFormat="1" applyFont="1" applyAlignment="1">
      <alignment horizontal="center"/>
    </xf>
    <xf numFmtId="0" fontId="30" fillId="0" borderId="0" xfId="7875" applyNumberFormat="1" applyFont="1" applyFill="1" applyBorder="1" applyAlignment="1">
      <alignment horizontal="center" vertical="center" wrapText="1"/>
    </xf>
    <xf numFmtId="169" fontId="30" fillId="0" borderId="0" xfId="7874" applyNumberFormat="1" applyFont="1" applyFill="1" applyBorder="1"/>
    <xf numFmtId="0" fontId="30" fillId="14" borderId="20" xfId="7873" applyFont="1" applyFill="1" applyBorder="1" applyAlignment="1">
      <alignment horizontal="left" vertical="center" indent="1"/>
    </xf>
    <xf numFmtId="14" fontId="30" fillId="14" borderId="20" xfId="7874" applyNumberFormat="1" applyFont="1" applyFill="1" applyBorder="1" applyAlignment="1">
      <alignment horizontal="center"/>
    </xf>
    <xf numFmtId="9" fontId="30" fillId="14" borderId="21" xfId="7875" applyFont="1" applyFill="1" applyBorder="1" applyAlignment="1">
      <alignment horizontal="right"/>
    </xf>
    <xf numFmtId="0" fontId="30" fillId="14" borderId="22" xfId="7875" applyNumberFormat="1" applyFont="1" applyFill="1" applyBorder="1" applyAlignment="1">
      <alignment horizontal="center" vertical="center" wrapText="1"/>
    </xf>
    <xf numFmtId="174" fontId="30" fillId="14" borderId="23" xfId="7875" applyNumberFormat="1" applyFont="1" applyFill="1" applyBorder="1" applyAlignment="1">
      <alignment horizontal="left"/>
    </xf>
    <xf numFmtId="0" fontId="30" fillId="0" borderId="0" xfId="7873" applyFont="1"/>
    <xf numFmtId="169" fontId="30" fillId="14" borderId="0" xfId="7874" applyNumberFormat="1" applyFont="1" applyFill="1" applyBorder="1" applyAlignment="1">
      <alignment horizontal="center" vertical="center"/>
    </xf>
    <xf numFmtId="169" fontId="30" fillId="14" borderId="0" xfId="7874" applyNumberFormat="1" applyFont="1" applyFill="1" applyBorder="1" applyAlignment="1">
      <alignment vertical="center"/>
    </xf>
    <xf numFmtId="0" fontId="30" fillId="14" borderId="27" xfId="7873" applyFont="1" applyFill="1" applyBorder="1"/>
    <xf numFmtId="173" fontId="31" fillId="14" borderId="20" xfId="7873" applyNumberFormat="1" applyFont="1" applyFill="1" applyBorder="1" applyAlignment="1">
      <alignment horizontal="right" vertical="center" wrapText="1"/>
    </xf>
    <xf numFmtId="174" fontId="31" fillId="0" borderId="0" xfId="7873" applyNumberFormat="1" applyFont="1" applyAlignment="1">
      <alignment horizontal="center" vertical="center" wrapText="1"/>
    </xf>
    <xf numFmtId="174" fontId="25" fillId="20" borderId="18" xfId="7873" applyNumberFormat="1" applyFont="1" applyFill="1" applyBorder="1" applyAlignment="1">
      <alignment horizontal="center" vertical="center" wrapText="1"/>
    </xf>
    <xf numFmtId="173" fontId="25" fillId="20" borderId="28" xfId="7873" applyNumberFormat="1" applyFont="1" applyFill="1" applyBorder="1" applyAlignment="1">
      <alignment horizontal="right" vertical="center" wrapText="1"/>
    </xf>
    <xf numFmtId="0" fontId="162" fillId="3" borderId="0" xfId="0" applyFont="1" applyFill="1" applyAlignment="1">
      <alignment horizontal="right" vertical="center" indent="1"/>
    </xf>
    <xf numFmtId="170" fontId="13" fillId="14" borderId="9" xfId="11" applyNumberFormat="1" applyFont="1" applyFill="1" applyBorder="1" applyAlignment="1">
      <alignment horizontal="right" vertical="center" wrapText="1"/>
    </xf>
    <xf numFmtId="170" fontId="29" fillId="114" borderId="0" xfId="11" applyNumberFormat="1" applyFont="1" applyFill="1" applyAlignment="1">
      <alignment vertical="center"/>
    </xf>
    <xf numFmtId="170" fontId="29" fillId="114" borderId="0" xfId="11" applyNumberFormat="1" applyFont="1" applyFill="1" applyAlignment="1">
      <alignment horizontal="right" vertical="center"/>
    </xf>
    <xf numFmtId="170" fontId="20" fillId="0" borderId="105" xfId="11" applyNumberFormat="1" applyFont="1" applyFill="1" applyBorder="1" applyAlignment="1">
      <alignment horizontal="left" indent="2"/>
    </xf>
    <xf numFmtId="170" fontId="20" fillId="0" borderId="0" xfId="11" applyNumberFormat="1" applyFont="1" applyFill="1" applyBorder="1" applyAlignment="1">
      <alignment horizontal="left" indent="2"/>
    </xf>
    <xf numFmtId="170" fontId="0" fillId="0" borderId="0" xfId="11" applyNumberFormat="1" applyFont="1"/>
    <xf numFmtId="1" fontId="29" fillId="114" borderId="0" xfId="0" applyNumberFormat="1" applyFont="1" applyFill="1" applyAlignment="1">
      <alignment horizontal="center" vertical="center"/>
    </xf>
    <xf numFmtId="170" fontId="29" fillId="114" borderId="0" xfId="11" applyNumberFormat="1" applyFont="1" applyFill="1" applyAlignment="1">
      <alignment horizontal="right" vertical="center" wrapText="1"/>
    </xf>
    <xf numFmtId="170" fontId="149" fillId="14" borderId="0" xfId="11" applyNumberFormat="1" applyFont="1" applyFill="1" applyAlignment="1">
      <alignment horizontal="center" vertical="center"/>
    </xf>
    <xf numFmtId="170" fontId="149" fillId="115" borderId="0" xfId="11" applyNumberFormat="1" applyFont="1" applyFill="1" applyAlignment="1">
      <alignment horizontal="center" vertical="center"/>
    </xf>
    <xf numFmtId="170" fontId="0" fillId="0" borderId="0" xfId="11" applyNumberFormat="1" applyFont="1" applyAlignment="1">
      <alignment horizontal="center"/>
    </xf>
    <xf numFmtId="170" fontId="149" fillId="14" borderId="0" xfId="11" applyNumberFormat="1" applyFont="1" applyFill="1" applyAlignment="1">
      <alignment vertical="center"/>
    </xf>
    <xf numFmtId="170" fontId="149" fillId="115" borderId="0" xfId="11" applyNumberFormat="1" applyFont="1" applyFill="1" applyAlignment="1">
      <alignment vertical="center"/>
    </xf>
    <xf numFmtId="219" fontId="29" fillId="20" borderId="0" xfId="7868" applyNumberFormat="1" applyFont="1" applyFill="1" applyAlignment="1">
      <alignment horizontal="right" vertical="center"/>
    </xf>
    <xf numFmtId="170" fontId="150" fillId="14" borderId="0" xfId="11" applyNumberFormat="1" applyFont="1" applyFill="1" applyBorder="1" applyAlignment="1">
      <alignment horizontal="center" vertical="center"/>
    </xf>
    <xf numFmtId="170" fontId="150" fillId="14" borderId="0" xfId="11" applyNumberFormat="1" applyFont="1" applyFill="1" applyAlignment="1">
      <alignment horizontal="center" vertical="center"/>
    </xf>
    <xf numFmtId="170" fontId="150" fillId="14" borderId="0" xfId="11" applyNumberFormat="1" applyFont="1" applyFill="1" applyAlignment="1">
      <alignment horizontal="right" vertical="center"/>
    </xf>
    <xf numFmtId="170" fontId="183" fillId="14" borderId="0" xfId="11" applyNumberFormat="1" applyFont="1" applyFill="1" applyBorder="1" applyAlignment="1">
      <alignment horizontal="center" vertical="center"/>
    </xf>
    <xf numFmtId="170" fontId="20" fillId="0" borderId="105" xfId="11" applyNumberFormat="1" applyFont="1" applyFill="1" applyBorder="1" applyAlignment="1">
      <alignment horizontal="right" indent="2"/>
    </xf>
    <xf numFmtId="1" fontId="29" fillId="123" borderId="0" xfId="0" applyNumberFormat="1" applyFont="1" applyFill="1" applyAlignment="1">
      <alignment horizontal="center" vertical="center" wrapText="1"/>
    </xf>
    <xf numFmtId="0" fontId="29" fillId="123" borderId="0" xfId="0" applyFont="1" applyFill="1" applyAlignment="1">
      <alignment horizontal="center" vertical="center" wrapText="1"/>
    </xf>
    <xf numFmtId="170" fontId="29" fillId="123" borderId="0" xfId="11" applyNumberFormat="1" applyFont="1" applyFill="1" applyAlignment="1">
      <alignment horizontal="right" vertical="center" wrapText="1"/>
    </xf>
    <xf numFmtId="0" fontId="205" fillId="0" borderId="0" xfId="2106" applyFont="1"/>
    <xf numFmtId="0" fontId="205" fillId="0" borderId="0" xfId="2106" applyFont="1" applyAlignment="1">
      <alignment horizontal="center"/>
    </xf>
    <xf numFmtId="0" fontId="205" fillId="0" borderId="0" xfId="2106" applyFont="1" applyAlignment="1">
      <alignment horizontal="center" vertical="center"/>
    </xf>
    <xf numFmtId="170" fontId="205" fillId="0" borderId="0" xfId="11" applyNumberFormat="1" applyFont="1" applyAlignment="1">
      <alignment horizontal="right"/>
    </xf>
    <xf numFmtId="170" fontId="0" fillId="0" borderId="0" xfId="0" applyNumberFormat="1"/>
    <xf numFmtId="0" fontId="150" fillId="0" borderId="0" xfId="0" applyFont="1" applyAlignment="1">
      <alignment vertical="center"/>
    </xf>
    <xf numFmtId="0" fontId="150" fillId="0" borderId="0" xfId="0" applyFont="1" applyAlignment="1">
      <alignment horizontal="center" vertical="center"/>
    </xf>
    <xf numFmtId="170" fontId="150" fillId="0" borderId="0" xfId="11" applyNumberFormat="1" applyFont="1" applyAlignment="1">
      <alignment horizontal="right" vertical="center"/>
    </xf>
    <xf numFmtId="170" fontId="20" fillId="0" borderId="105" xfId="7869" applyNumberFormat="1" applyFont="1" applyFill="1" applyBorder="1" applyAlignment="1">
      <alignment horizontal="left" indent="2"/>
    </xf>
    <xf numFmtId="0" fontId="29" fillId="117" borderId="0" xfId="5264" applyFont="1" applyFill="1" applyAlignment="1">
      <alignment vertical="center" wrapText="1"/>
    </xf>
    <xf numFmtId="170" fontId="29" fillId="123" borderId="0" xfId="11" applyNumberFormat="1" applyFont="1" applyFill="1" applyAlignment="1">
      <alignment horizontal="center" vertical="center" wrapText="1"/>
    </xf>
    <xf numFmtId="170" fontId="205" fillId="0" borderId="0" xfId="11" applyNumberFormat="1" applyFont="1" applyAlignment="1">
      <alignment horizontal="center"/>
    </xf>
    <xf numFmtId="219" fontId="29" fillId="14" borderId="0" xfId="7868" applyNumberFormat="1" applyFont="1" applyFill="1" applyAlignment="1">
      <alignment horizontal="right" vertical="center"/>
    </xf>
    <xf numFmtId="170" fontId="29" fillId="20" borderId="0" xfId="5111" applyNumberFormat="1" applyFont="1" applyFill="1" applyAlignment="1">
      <alignment horizontal="right" vertical="center"/>
    </xf>
    <xf numFmtId="1" fontId="29" fillId="123" borderId="0" xfId="0" applyNumberFormat="1" applyFont="1" applyFill="1" applyAlignment="1">
      <alignment horizontal="center" vertical="center"/>
    </xf>
    <xf numFmtId="170" fontId="29" fillId="14" borderId="0" xfId="11" applyNumberFormat="1" applyFont="1" applyFill="1" applyBorder="1" applyAlignment="1">
      <alignment horizontal="center" vertical="center"/>
    </xf>
    <xf numFmtId="170" fontId="150" fillId="0" borderId="0" xfId="11" applyNumberFormat="1" applyFont="1" applyAlignment="1">
      <alignment horizontal="center" vertical="center"/>
    </xf>
    <xf numFmtId="169" fontId="195" fillId="14" borderId="10" xfId="11" applyNumberFormat="1" applyFont="1" applyFill="1" applyBorder="1"/>
    <xf numFmtId="0" fontId="9" fillId="0" borderId="113" xfId="0" applyFont="1" applyBorder="1"/>
    <xf numFmtId="0" fontId="9" fillId="0" borderId="113" xfId="0" applyFont="1" applyBorder="1" applyAlignment="1">
      <alignment horizontal="center"/>
    </xf>
    <xf numFmtId="0" fontId="9" fillId="0" borderId="113" xfId="0" applyFont="1" applyBorder="1" applyAlignment="1">
      <alignment horizontal="center" wrapText="1"/>
    </xf>
    <xf numFmtId="0" fontId="9" fillId="0" borderId="113" xfId="0" applyFont="1" applyBorder="1" applyAlignment="1">
      <alignment horizontal="left"/>
    </xf>
    <xf numFmtId="0" fontId="162" fillId="120" borderId="114" xfId="0" applyFont="1" applyFill="1" applyBorder="1" applyAlignment="1">
      <alignment horizontal="center" vertical="center" wrapText="1"/>
    </xf>
    <xf numFmtId="0" fontId="162" fillId="120" borderId="115" xfId="0" applyFont="1" applyFill="1" applyBorder="1" applyAlignment="1">
      <alignment horizontal="center" vertical="center" wrapText="1"/>
    </xf>
    <xf numFmtId="0" fontId="40" fillId="0" borderId="117" xfId="65" applyFont="1" applyBorder="1" applyAlignment="1">
      <alignment horizontal="left" vertical="center"/>
    </xf>
    <xf numFmtId="0" fontId="207" fillId="0" borderId="117" xfId="0" applyFont="1" applyBorder="1" applyAlignment="1">
      <alignment horizontal="left" vertical="center"/>
    </xf>
    <xf numFmtId="0" fontId="0" fillId="14" borderId="0" xfId="0" applyFill="1" applyAlignment="1">
      <alignment horizontal="center"/>
    </xf>
    <xf numFmtId="0" fontId="166" fillId="125" borderId="0" xfId="5269" applyFont="1" applyFill="1" applyAlignment="1">
      <alignment wrapText="1"/>
    </xf>
    <xf numFmtId="0" fontId="162" fillId="126" borderId="36" xfId="5269" applyFont="1" applyFill="1" applyBorder="1" applyAlignment="1">
      <alignment horizontal="center" vertical="center" wrapText="1"/>
    </xf>
    <xf numFmtId="0" fontId="166" fillId="125" borderId="36" xfId="5269" applyFont="1" applyFill="1" applyBorder="1" applyAlignment="1">
      <alignment horizontal="left" vertical="center"/>
    </xf>
    <xf numFmtId="0" fontId="166" fillId="125" borderId="0" xfId="5269" applyFont="1" applyFill="1" applyAlignment="1">
      <alignment horizontal="left"/>
    </xf>
    <xf numFmtId="3" fontId="166" fillId="0" borderId="36" xfId="5269" applyNumberFormat="1" applyFont="1" applyBorder="1" applyAlignment="1">
      <alignment vertical="center"/>
    </xf>
    <xf numFmtId="0" fontId="162" fillId="121" borderId="0" xfId="0" applyFont="1" applyFill="1"/>
    <xf numFmtId="170" fontId="162" fillId="121" borderId="0" xfId="11" applyNumberFormat="1" applyFont="1" applyFill="1"/>
    <xf numFmtId="0" fontId="186" fillId="0" borderId="120" xfId="0" applyFont="1" applyBorder="1" applyAlignment="1">
      <alignment horizontal="left" vertical="center"/>
    </xf>
    <xf numFmtId="0" fontId="0" fillId="0" borderId="0" xfId="0" applyBorder="1" applyAlignment="1">
      <alignment horizontal="center" vertical="center"/>
    </xf>
    <xf numFmtId="169" fontId="20" fillId="0" borderId="105" xfId="23" applyNumberFormat="1" applyFont="1" applyFill="1" applyBorder="1" applyAlignment="1">
      <alignment horizontal="right" indent="2"/>
    </xf>
    <xf numFmtId="170" fontId="20" fillId="0" borderId="105" xfId="7869" applyNumberFormat="1" applyFont="1" applyFill="1" applyBorder="1" applyAlignment="1">
      <alignment horizontal="right" indent="2"/>
    </xf>
    <xf numFmtId="1" fontId="29" fillId="114" borderId="0" xfId="0" applyNumberFormat="1" applyFont="1" applyFill="1" applyAlignment="1">
      <alignment horizontal="right" vertical="center"/>
    </xf>
    <xf numFmtId="170" fontId="20" fillId="0" borderId="105" xfId="23" applyNumberFormat="1" applyFont="1" applyFill="1" applyBorder="1" applyAlignment="1">
      <alignment horizontal="right" indent="2"/>
    </xf>
    <xf numFmtId="1" fontId="29" fillId="123" borderId="0" xfId="0" applyNumberFormat="1" applyFont="1" applyFill="1" applyAlignment="1">
      <alignment horizontal="right" vertical="center"/>
    </xf>
    <xf numFmtId="169" fontId="24" fillId="0" borderId="10" xfId="11" applyNumberFormat="1" applyFont="1" applyFill="1" applyBorder="1"/>
    <xf numFmtId="0" fontId="0" fillId="0" borderId="0" xfId="0" applyAlignment="1">
      <alignment horizontal="center" vertical="center"/>
    </xf>
    <xf numFmtId="0" fontId="5" fillId="14" borderId="0" xfId="3" applyFill="1"/>
    <xf numFmtId="169" fontId="10" fillId="14" borderId="10" xfId="11" applyNumberFormat="1" applyFont="1" applyFill="1" applyBorder="1"/>
    <xf numFmtId="0" fontId="163" fillId="14" borderId="0" xfId="12" applyFont="1" applyFill="1" applyBorder="1" applyAlignment="1">
      <alignment horizontal="left"/>
    </xf>
    <xf numFmtId="0" fontId="25" fillId="117" borderId="11" xfId="0" applyFont="1" applyFill="1" applyBorder="1" applyAlignment="1">
      <alignment horizontal="right" vertical="center" wrapText="1" indent="1"/>
    </xf>
    <xf numFmtId="169" fontId="163" fillId="14" borderId="0" xfId="23" applyNumberFormat="1" applyFont="1" applyFill="1" applyBorder="1" applyAlignment="1">
      <alignment horizontal="center"/>
    </xf>
    <xf numFmtId="169" fontId="19" fillId="14" borderId="0" xfId="23" applyNumberFormat="1" applyFont="1" applyFill="1" applyBorder="1" applyAlignment="1">
      <alignment horizontal="center"/>
    </xf>
    <xf numFmtId="170" fontId="166" fillId="125" borderId="36" xfId="11" applyNumberFormat="1" applyFont="1" applyFill="1" applyBorder="1" applyAlignment="1">
      <alignment vertical="center"/>
    </xf>
    <xf numFmtId="170" fontId="166" fillId="125" borderId="0" xfId="11" applyNumberFormat="1" applyFont="1" applyFill="1" applyAlignment="1">
      <alignment vertical="center"/>
    </xf>
    <xf numFmtId="170" fontId="166" fillId="2" borderId="36" xfId="11" applyNumberFormat="1" applyFont="1" applyFill="1" applyBorder="1"/>
    <xf numFmtId="170" fontId="166" fillId="2" borderId="39" xfId="11" applyNumberFormat="1" applyFont="1" applyFill="1" applyBorder="1"/>
    <xf numFmtId="170" fontId="166" fillId="0" borderId="36" xfId="11" applyNumberFormat="1" applyFont="1" applyBorder="1" applyAlignment="1">
      <alignment vertical="center"/>
    </xf>
    <xf numFmtId="170" fontId="166" fillId="0" borderId="36" xfId="11" applyNumberFormat="1" applyFont="1" applyBorder="1"/>
    <xf numFmtId="170" fontId="166" fillId="0" borderId="39" xfId="11" applyNumberFormat="1" applyFont="1" applyBorder="1"/>
    <xf numFmtId="0" fontId="30" fillId="14" borderId="23" xfId="7873" applyFont="1" applyFill="1" applyBorder="1" applyAlignment="1">
      <alignment horizontal="left" vertical="center" indent="1"/>
    </xf>
    <xf numFmtId="0" fontId="30" fillId="0" borderId="23" xfId="7873" applyFont="1" applyBorder="1" applyAlignment="1">
      <alignment horizontal="left" vertical="center" indent="1"/>
    </xf>
    <xf numFmtId="170" fontId="23" fillId="0" borderId="10" xfId="11" applyNumberFormat="1" applyFont="1" applyBorder="1"/>
    <xf numFmtId="0" fontId="166" fillId="5" borderId="0" xfId="0" applyFont="1" applyFill="1" applyAlignment="1">
      <alignment horizontal="right" vertical="center" wrapText="1"/>
    </xf>
    <xf numFmtId="41" fontId="207" fillId="0" borderId="117" xfId="11" applyNumberFormat="1" applyFont="1" applyBorder="1" applyAlignment="1">
      <alignment vertical="center"/>
    </xf>
    <xf numFmtId="41" fontId="208" fillId="0" borderId="117" xfId="11" applyNumberFormat="1" applyFont="1" applyBorder="1" applyAlignment="1">
      <alignment vertical="center"/>
    </xf>
    <xf numFmtId="220" fontId="40" fillId="0" borderId="117" xfId="7877" applyNumberFormat="1" applyFont="1" applyBorder="1" applyAlignment="1">
      <alignment horizontal="right" vertical="center"/>
    </xf>
    <xf numFmtId="220" fontId="207" fillId="0" borderId="117" xfId="0" applyNumberFormat="1" applyFont="1" applyBorder="1" applyAlignment="1">
      <alignment horizontal="right" vertical="center"/>
    </xf>
    <xf numFmtId="0" fontId="0" fillId="0" borderId="0" xfId="0" applyFill="1" applyBorder="1"/>
    <xf numFmtId="0" fontId="40" fillId="0" borderId="0" xfId="65" applyFont="1" applyFill="1" applyBorder="1" applyAlignment="1">
      <alignment horizontal="left" vertical="center"/>
    </xf>
    <xf numFmtId="3" fontId="164" fillId="0" borderId="0" xfId="0" applyNumberFormat="1" applyFont="1" applyAlignment="1">
      <alignment wrapText="1"/>
    </xf>
    <xf numFmtId="3" fontId="200" fillId="0" borderId="0" xfId="0" applyNumberFormat="1" applyFont="1" applyAlignment="1">
      <alignment wrapText="1"/>
    </xf>
    <xf numFmtId="170" fontId="23" fillId="0" borderId="110" xfId="11" applyNumberFormat="1" applyFont="1" applyBorder="1" applyAlignment="1">
      <alignment horizontal="right" wrapText="1"/>
    </xf>
    <xf numFmtId="43" fontId="23" fillId="0" borderId="7" xfId="11" applyFont="1" applyBorder="1" applyAlignment="1">
      <alignment horizontal="right" wrapText="1"/>
    </xf>
    <xf numFmtId="170" fontId="23" fillId="0" borderId="7" xfId="11" applyNumberFormat="1" applyFont="1" applyBorder="1" applyAlignment="1">
      <alignment horizontal="right" wrapText="1"/>
    </xf>
    <xf numFmtId="0" fontId="151" fillId="0" borderId="0" xfId="0" applyFont="1"/>
    <xf numFmtId="0" fontId="203" fillId="0" borderId="0" xfId="0" applyFont="1" applyFill="1" applyAlignment="1">
      <alignment horizontal="center" vertical="center"/>
    </xf>
    <xf numFmtId="0" fontId="29" fillId="0" borderId="0" xfId="0" applyFont="1" applyFill="1" applyAlignment="1">
      <alignment horizontal="center" vertical="center"/>
    </xf>
    <xf numFmtId="0" fontId="201" fillId="0" borderId="0" xfId="0" applyFont="1"/>
    <xf numFmtId="0" fontId="164" fillId="0" borderId="105" xfId="13" applyNumberFormat="1" applyFont="1" applyFill="1" applyBorder="1" applyAlignment="1">
      <alignment horizontal="left"/>
    </xf>
    <xf numFmtId="0" fontId="4" fillId="0" borderId="0" xfId="22" applyFill="1"/>
    <xf numFmtId="0" fontId="30" fillId="18" borderId="23" xfId="7873" applyFont="1" applyFill="1" applyBorder="1" applyAlignment="1">
      <alignment horizontal="left" vertical="center" indent="1"/>
    </xf>
    <xf numFmtId="0" fontId="30" fillId="14" borderId="36" xfId="7873" applyFont="1" applyFill="1" applyBorder="1" applyAlignment="1">
      <alignment horizontal="center" vertical="center"/>
    </xf>
    <xf numFmtId="0" fontId="209" fillId="0" borderId="0" xfId="0" applyFont="1" applyAlignment="1">
      <alignment horizontal="left" vertical="center"/>
    </xf>
    <xf numFmtId="0" fontId="210" fillId="0" borderId="36" xfId="0" applyFont="1" applyBorder="1" applyAlignment="1">
      <alignment vertical="center" wrapText="1"/>
    </xf>
    <xf numFmtId="0" fontId="210" fillId="0" borderId="123" xfId="0" applyFont="1" applyBorder="1" applyAlignment="1">
      <alignment horizontal="left" vertical="center"/>
    </xf>
    <xf numFmtId="0" fontId="210" fillId="0" borderId="36" xfId="0" applyFont="1" applyBorder="1" applyAlignment="1">
      <alignment vertical="center"/>
    </xf>
    <xf numFmtId="0" fontId="210" fillId="0" borderId="36" xfId="0" applyFont="1" applyBorder="1" applyAlignment="1">
      <alignment horizontal="center" vertical="center"/>
    </xf>
    <xf numFmtId="0" fontId="29" fillId="14" borderId="0" xfId="0" applyFont="1" applyFill="1" applyBorder="1" applyAlignment="1">
      <alignment horizontal="center" vertical="center" wrapText="1"/>
    </xf>
    <xf numFmtId="0" fontId="203" fillId="14" borderId="0" xfId="0" applyFont="1" applyFill="1" applyBorder="1" applyAlignment="1">
      <alignment horizontal="left" vertical="center"/>
    </xf>
    <xf numFmtId="170" fontId="163" fillId="0" borderId="0" xfId="11" applyNumberFormat="1" applyFont="1" applyFill="1" applyBorder="1" applyAlignment="1">
      <alignment horizontal="left"/>
    </xf>
    <xf numFmtId="170" fontId="164" fillId="0" borderId="105" xfId="11" applyNumberFormat="1" applyFont="1" applyFill="1" applyBorder="1" applyAlignment="1">
      <alignment horizontal="left"/>
    </xf>
    <xf numFmtId="170" fontId="17" fillId="0" borderId="0" xfId="11" applyNumberFormat="1" applyFont="1" applyFill="1" applyBorder="1" applyAlignment="1">
      <alignment horizontal="left"/>
    </xf>
    <xf numFmtId="0" fontId="211" fillId="0" borderId="0" xfId="0" applyFont="1"/>
    <xf numFmtId="0" fontId="168" fillId="127" borderId="0" xfId="0" applyFont="1" applyFill="1" applyAlignment="1">
      <alignment horizontal="center" vertical="center" wrapText="1"/>
    </xf>
    <xf numFmtId="0" fontId="168" fillId="4" borderId="98" xfId="0" applyFont="1" applyFill="1" applyBorder="1" applyAlignment="1">
      <alignment vertical="center"/>
    </xf>
    <xf numFmtId="0" fontId="166" fillId="5" borderId="4" xfId="0" applyFont="1" applyFill="1" applyBorder="1" applyAlignment="1">
      <alignment horizontal="right" vertical="center" wrapText="1"/>
    </xf>
    <xf numFmtId="169" fontId="23" fillId="2" borderId="124" xfId="11" applyNumberFormat="1" applyFont="1" applyFill="1" applyBorder="1"/>
    <xf numFmtId="169" fontId="23" fillId="2" borderId="125" xfId="11" applyNumberFormat="1" applyFont="1" applyFill="1" applyBorder="1"/>
    <xf numFmtId="170" fontId="168" fillId="7" borderId="0" xfId="11" applyNumberFormat="1" applyFont="1" applyFill="1" applyBorder="1" applyAlignment="1">
      <alignment horizontal="right" vertical="center" wrapText="1"/>
    </xf>
    <xf numFmtId="169" fontId="23" fillId="2" borderId="0" xfId="11" applyNumberFormat="1" applyFont="1" applyFill="1" applyBorder="1"/>
    <xf numFmtId="170" fontId="169" fillId="5" borderId="0" xfId="11" applyNumberFormat="1" applyFont="1" applyFill="1" applyBorder="1" applyAlignment="1">
      <alignment horizontal="right" vertical="center" wrapText="1"/>
    </xf>
    <xf numFmtId="0" fontId="23" fillId="8" borderId="0" xfId="0" applyFont="1" applyFill="1" applyAlignment="1">
      <alignment horizontal="right" vertical="center" wrapText="1"/>
    </xf>
    <xf numFmtId="3" fontId="168" fillId="2" borderId="0" xfId="0" applyNumberFormat="1" applyFont="1" applyFill="1" applyAlignment="1">
      <alignment horizontal="right" vertical="center" wrapText="1"/>
    </xf>
    <xf numFmtId="170" fontId="211" fillId="0" borderId="0" xfId="0" applyNumberFormat="1" applyFont="1"/>
    <xf numFmtId="0" fontId="168" fillId="4" borderId="0" xfId="0" applyFont="1" applyFill="1" applyAlignment="1">
      <alignment horizontal="right" vertical="center"/>
    </xf>
    <xf numFmtId="0" fontId="23" fillId="5" borderId="0" xfId="0" applyFont="1" applyFill="1" applyAlignment="1">
      <alignment horizontal="right" vertical="center" wrapText="1"/>
    </xf>
    <xf numFmtId="0" fontId="168" fillId="4" borderId="0" xfId="0" applyFont="1" applyFill="1" applyAlignment="1">
      <alignment vertical="center"/>
    </xf>
    <xf numFmtId="0" fontId="168" fillId="2" borderId="0" xfId="0" applyFont="1" applyFill="1" applyAlignment="1">
      <alignment horizontal="right" vertical="center" wrapText="1"/>
    </xf>
    <xf numFmtId="0" fontId="168" fillId="3" borderId="0" xfId="0" applyFont="1" applyFill="1" applyAlignment="1">
      <alignment horizontal="center" vertical="center"/>
    </xf>
    <xf numFmtId="0" fontId="0" fillId="0" borderId="105" xfId="0" applyBorder="1"/>
    <xf numFmtId="0" fontId="9" fillId="0" borderId="127" xfId="0" applyFont="1" applyBorder="1" applyAlignment="1">
      <alignment horizontal="center" wrapText="1"/>
    </xf>
    <xf numFmtId="0" fontId="9" fillId="0" borderId="126" xfId="0" applyFont="1" applyBorder="1"/>
    <xf numFmtId="0" fontId="9" fillId="0" borderId="127" xfId="0" applyFont="1" applyBorder="1" applyAlignment="1">
      <alignment vertical="center"/>
    </xf>
    <xf numFmtId="0" fontId="9" fillId="0" borderId="126" xfId="0" applyFont="1" applyBorder="1" applyAlignment="1">
      <alignment horizontal="center" wrapText="1"/>
    </xf>
    <xf numFmtId="0" fontId="9" fillId="0" borderId="40" xfId="0" applyFont="1" applyBorder="1" applyAlignment="1">
      <alignment horizontal="center"/>
    </xf>
    <xf numFmtId="0" fontId="9" fillId="0" borderId="39" xfId="0" applyFont="1" applyBorder="1" applyAlignment="1">
      <alignment horizontal="center"/>
    </xf>
    <xf numFmtId="0" fontId="30" fillId="14" borderId="19" xfId="7873" applyFont="1" applyFill="1" applyBorder="1" applyAlignment="1">
      <alignment horizontal="center" vertical="center"/>
    </xf>
    <xf numFmtId="0" fontId="30" fillId="14" borderId="24" xfId="7873" applyFont="1" applyFill="1" applyBorder="1" applyAlignment="1">
      <alignment horizontal="center" vertical="center"/>
    </xf>
    <xf numFmtId="0" fontId="30" fillId="14" borderId="25" xfId="7873" applyFont="1" applyFill="1" applyBorder="1" applyAlignment="1">
      <alignment horizontal="center" vertical="center"/>
    </xf>
    <xf numFmtId="0" fontId="25" fillId="20" borderId="18" xfId="7873" applyFont="1" applyFill="1" applyBorder="1" applyAlignment="1">
      <alignment horizontal="center" vertical="center" wrapText="1"/>
    </xf>
    <xf numFmtId="0" fontId="29" fillId="9" borderId="15" xfId="7873" applyFont="1" applyFill="1" applyBorder="1" applyAlignment="1">
      <alignment horizontal="center" vertical="center" wrapText="1"/>
    </xf>
    <xf numFmtId="0" fontId="185" fillId="0" borderId="104" xfId="0" applyFont="1" applyBorder="1" applyAlignment="1">
      <alignment horizontal="center" vertical="center"/>
    </xf>
    <xf numFmtId="0" fontId="185" fillId="0" borderId="0" xfId="0" applyFont="1" applyAlignment="1">
      <alignment horizontal="center" vertical="center"/>
    </xf>
    <xf numFmtId="0" fontId="40" fillId="0" borderId="116" xfId="65" applyFont="1" applyBorder="1" applyAlignment="1">
      <alignment horizontal="left" vertical="center"/>
    </xf>
    <xf numFmtId="170" fontId="27" fillId="0" borderId="0" xfId="11" applyNumberFormat="1" applyFont="1"/>
    <xf numFmtId="1" fontId="0" fillId="0" borderId="0" xfId="0" applyNumberFormat="1"/>
    <xf numFmtId="220" fontId="207" fillId="0" borderId="117" xfId="0" applyNumberFormat="1" applyFont="1" applyBorder="1" applyAlignment="1">
      <alignment vertical="center"/>
    </xf>
    <xf numFmtId="0" fontId="0" fillId="0" borderId="0" xfId="0" applyAlignment="1">
      <alignment horizontal="left"/>
    </xf>
    <xf numFmtId="0" fontId="0" fillId="14" borderId="0" xfId="0" applyFill="1" applyAlignment="1">
      <alignment horizontal="left"/>
    </xf>
    <xf numFmtId="220" fontId="207" fillId="0" borderId="117" xfId="0" applyNumberFormat="1" applyFont="1" applyBorder="1" applyAlignment="1">
      <alignment horizontal="left" vertical="center"/>
    </xf>
    <xf numFmtId="0" fontId="160" fillId="0" borderId="0" xfId="0" applyFont="1" applyFill="1" applyBorder="1"/>
    <xf numFmtId="0" fontId="213" fillId="124" borderId="116" xfId="65" applyFont="1" applyFill="1" applyBorder="1" applyAlignment="1">
      <alignment horizontal="center" wrapText="1"/>
    </xf>
    <xf numFmtId="0" fontId="213" fillId="124" borderId="116" xfId="65" applyFont="1" applyFill="1" applyBorder="1" applyAlignment="1">
      <alignment horizontal="left" wrapText="1"/>
    </xf>
    <xf numFmtId="0" fontId="213" fillId="124" borderId="116" xfId="65" applyFont="1" applyFill="1" applyBorder="1" applyAlignment="1">
      <alignment horizontal="center"/>
    </xf>
    <xf numFmtId="0" fontId="212" fillId="124" borderId="116" xfId="65" applyFont="1" applyFill="1" applyBorder="1" applyAlignment="1">
      <alignment horizontal="center" wrapText="1"/>
    </xf>
    <xf numFmtId="3" fontId="214" fillId="0" borderId="0" xfId="0" applyNumberFormat="1" applyFont="1" applyAlignment="1">
      <alignment horizontal="center" vertical="center"/>
    </xf>
    <xf numFmtId="1" fontId="214" fillId="0" borderId="0" xfId="0" applyNumberFormat="1" applyFont="1" applyAlignment="1">
      <alignment horizontal="center" vertical="center"/>
    </xf>
    <xf numFmtId="14" fontId="185" fillId="0" borderId="103" xfId="0" applyNumberFormat="1" applyFont="1" applyBorder="1" applyAlignment="1">
      <alignment horizontal="center" vertical="center"/>
    </xf>
    <xf numFmtId="0" fontId="217" fillId="0" borderId="0" xfId="3" applyFont="1"/>
    <xf numFmtId="0" fontId="218" fillId="0" borderId="0" xfId="16" applyFont="1"/>
    <xf numFmtId="0" fontId="178" fillId="0" borderId="0" xfId="16" applyFont="1"/>
    <xf numFmtId="0" fontId="162" fillId="9" borderId="0" xfId="0" applyFont="1" applyFill="1" applyAlignment="1">
      <alignment horizontal="left" vertical="center"/>
    </xf>
    <xf numFmtId="0" fontId="162" fillId="0" borderId="0" xfId="0" applyFont="1" applyAlignment="1">
      <alignment horizontal="center" vertical="center"/>
    </xf>
    <xf numFmtId="0" fontId="160" fillId="0" borderId="0" xfId="0" applyFont="1" applyAlignment="1">
      <alignment horizontal="center"/>
    </xf>
    <xf numFmtId="0" fontId="166" fillId="12" borderId="12" xfId="0" applyFont="1" applyFill="1" applyBorder="1" applyAlignment="1">
      <alignment horizontal="left" vertical="center" wrapText="1" indent="1"/>
    </xf>
    <xf numFmtId="3" fontId="162" fillId="9" borderId="0" xfId="0" applyNumberFormat="1" applyFont="1" applyFill="1" applyAlignment="1">
      <alignment horizontal="center" vertical="center"/>
    </xf>
    <xf numFmtId="0" fontId="169" fillId="12" borderId="12" xfId="0" applyFont="1" applyFill="1" applyBorder="1" applyAlignment="1">
      <alignment horizontal="left" vertical="center" wrapText="1" indent="1"/>
    </xf>
    <xf numFmtId="169" fontId="169" fillId="0" borderId="13" xfId="21" applyNumberFormat="1" applyFont="1" applyFill="1" applyBorder="1"/>
    <xf numFmtId="0" fontId="23" fillId="12" borderId="12" xfId="0" applyFont="1" applyFill="1" applyBorder="1" applyAlignment="1">
      <alignment horizontal="left" vertical="center" wrapText="1" indent="2"/>
    </xf>
    <xf numFmtId="171" fontId="168" fillId="0" borderId="0" xfId="21" applyNumberFormat="1" applyFont="1" applyFill="1" applyBorder="1" applyAlignment="1">
      <alignment vertical="center"/>
    </xf>
    <xf numFmtId="0" fontId="162" fillId="128" borderId="0" xfId="0" applyFont="1" applyFill="1" applyAlignment="1">
      <alignment horizontal="center" vertical="center"/>
    </xf>
    <xf numFmtId="0" fontId="160" fillId="0" borderId="0" xfId="0" applyFont="1" applyAlignment="1">
      <alignment horizontal="left" indent="2"/>
    </xf>
    <xf numFmtId="0" fontId="166" fillId="0" borderId="0" xfId="16" applyFont="1" applyAlignment="1">
      <alignment horizontal="left" indent="2"/>
    </xf>
    <xf numFmtId="0" fontId="162" fillId="9" borderId="0" xfId="0" applyFont="1" applyFill="1" applyAlignment="1">
      <alignment horizontal="left" vertical="center" indent="2"/>
    </xf>
    <xf numFmtId="0" fontId="162" fillId="0" borderId="0" xfId="0" applyFont="1" applyAlignment="1">
      <alignment horizontal="left" vertical="center" indent="2"/>
    </xf>
    <xf numFmtId="169" fontId="23" fillId="0" borderId="13" xfId="21" applyNumberFormat="1" applyFont="1" applyFill="1" applyBorder="1" applyAlignment="1">
      <alignment horizontal="left" indent="2"/>
    </xf>
    <xf numFmtId="169" fontId="169" fillId="0" borderId="13" xfId="21" applyNumberFormat="1" applyFont="1" applyFill="1" applyBorder="1" applyAlignment="1">
      <alignment horizontal="left" indent="2"/>
    </xf>
    <xf numFmtId="171" fontId="168" fillId="0" borderId="0" xfId="21" applyNumberFormat="1" applyFont="1" applyFill="1" applyBorder="1" applyAlignment="1">
      <alignment horizontal="left" vertical="center" indent="2"/>
    </xf>
    <xf numFmtId="3" fontId="162" fillId="9" borderId="0" xfId="0" applyNumberFormat="1" applyFont="1" applyFill="1" applyAlignment="1">
      <alignment horizontal="right" vertical="center" indent="2"/>
    </xf>
    <xf numFmtId="171" fontId="166" fillId="0" borderId="0" xfId="16" applyNumberFormat="1" applyFont="1" applyAlignment="1">
      <alignment horizontal="right" indent="2"/>
    </xf>
    <xf numFmtId="0" fontId="29" fillId="9" borderId="109" xfId="7873" applyFont="1" applyFill="1" applyBorder="1" applyAlignment="1">
      <alignment horizontal="center" vertical="center" wrapText="1"/>
    </xf>
    <xf numFmtId="0" fontId="30" fillId="129" borderId="20" xfId="7873" applyFont="1" applyFill="1" applyBorder="1" applyAlignment="1">
      <alignment horizontal="left" vertical="center"/>
    </xf>
    <xf numFmtId="0" fontId="24" fillId="14" borderId="0" xfId="7873" applyFont="1" applyFill="1" applyAlignment="1">
      <alignment horizontal="left" vertical="center"/>
    </xf>
    <xf numFmtId="0" fontId="30" fillId="14" borderId="0" xfId="7873" applyFont="1" applyFill="1" applyAlignment="1">
      <alignment horizontal="left"/>
    </xf>
    <xf numFmtId="0" fontId="30" fillId="14" borderId="23" xfId="7873" applyFont="1" applyFill="1" applyBorder="1" applyAlignment="1">
      <alignment horizontal="left" vertical="center"/>
    </xf>
    <xf numFmtId="0" fontId="30" fillId="129" borderId="23" xfId="7873" applyFont="1" applyFill="1" applyBorder="1" applyAlignment="1">
      <alignment horizontal="left" vertical="center"/>
    </xf>
    <xf numFmtId="169" fontId="25" fillId="20" borderId="18" xfId="7874" applyNumberFormat="1" applyFont="1" applyFill="1" applyBorder="1" applyAlignment="1">
      <alignment horizontal="center" vertical="center" wrapText="1"/>
    </xf>
    <xf numFmtId="3" fontId="30" fillId="0" borderId="0" xfId="0" applyNumberFormat="1" applyFont="1" applyAlignment="1">
      <alignment vertical="center"/>
    </xf>
    <xf numFmtId="0" fontId="29" fillId="130" borderId="14" xfId="7873" applyFont="1" applyFill="1" applyBorder="1" applyAlignment="1">
      <alignment horizontal="center" vertical="center" wrapText="1"/>
    </xf>
    <xf numFmtId="0" fontId="29" fillId="130" borderId="15" xfId="7873" applyFont="1" applyFill="1" applyBorder="1" applyAlignment="1">
      <alignment horizontal="center" vertical="center" wrapText="1"/>
    </xf>
    <xf numFmtId="0" fontId="29" fillId="130" borderId="16" xfId="7873" applyFont="1" applyFill="1" applyBorder="1" applyAlignment="1">
      <alignment horizontal="center" vertical="center" wrapText="1"/>
    </xf>
    <xf numFmtId="0" fontId="29" fillId="130" borderId="17" xfId="7873" applyFont="1" applyFill="1" applyBorder="1" applyAlignment="1">
      <alignment horizontal="center" vertical="center" wrapText="1"/>
    </xf>
    <xf numFmtId="0" fontId="29" fillId="130" borderId="109" xfId="7873" applyFont="1" applyFill="1" applyBorder="1" applyAlignment="1">
      <alignment horizontal="center" vertical="center" wrapText="1"/>
    </xf>
    <xf numFmtId="0" fontId="25" fillId="17" borderId="18" xfId="7873" applyFont="1" applyFill="1" applyBorder="1" applyAlignment="1">
      <alignment horizontal="center" vertical="center" wrapText="1"/>
    </xf>
    <xf numFmtId="9" fontId="30" fillId="0" borderId="21" xfId="7874" applyNumberFormat="1" applyFont="1" applyFill="1" applyBorder="1" applyAlignment="1">
      <alignment horizontal="center"/>
    </xf>
    <xf numFmtId="175" fontId="30" fillId="0" borderId="20" xfId="7873" applyNumberFormat="1" applyFont="1" applyBorder="1" applyAlignment="1">
      <alignment horizontal="center"/>
    </xf>
    <xf numFmtId="10" fontId="30" fillId="18" borderId="22" xfId="7875" applyNumberFormat="1" applyFont="1" applyFill="1" applyBorder="1" applyAlignment="1">
      <alignment horizontal="left"/>
    </xf>
    <xf numFmtId="3" fontId="25" fillId="17" borderId="18" xfId="7873" applyNumberFormat="1" applyFont="1" applyFill="1" applyBorder="1" applyAlignment="1">
      <alignment horizontal="right" vertical="center" wrapText="1"/>
    </xf>
    <xf numFmtId="14" fontId="30" fillId="18" borderId="128" xfId="7874" applyNumberFormat="1" applyFont="1" applyFill="1" applyBorder="1" applyAlignment="1">
      <alignment horizontal="center"/>
    </xf>
    <xf numFmtId="171" fontId="30" fillId="18" borderId="20" xfId="7874" applyNumberFormat="1" applyFont="1" applyFill="1" applyBorder="1" applyAlignment="1">
      <alignment horizontal="left"/>
    </xf>
    <xf numFmtId="14" fontId="30" fillId="18" borderId="129" xfId="7874" applyNumberFormat="1" applyFont="1" applyFill="1" applyBorder="1" applyAlignment="1">
      <alignment horizontal="center"/>
    </xf>
    <xf numFmtId="0" fontId="9" fillId="0" borderId="0" xfId="0" applyFont="1" applyAlignment="1">
      <alignment horizontal="center" wrapText="1"/>
    </xf>
    <xf numFmtId="0" fontId="206" fillId="14" borderId="0" xfId="0" applyFont="1" applyFill="1" applyAlignment="1">
      <alignment horizontal="left" vertical="center" wrapText="1"/>
    </xf>
    <xf numFmtId="0" fontId="162" fillId="14" borderId="0" xfId="0" applyFont="1" applyFill="1" applyAlignment="1">
      <alignment horizontal="center" vertical="center" wrapText="1"/>
    </xf>
    <xf numFmtId="0" fontId="9" fillId="0" borderId="40" xfId="0" applyFont="1" applyBorder="1"/>
    <xf numFmtId="0" fontId="9" fillId="0" borderId="39" xfId="0" applyFont="1" applyBorder="1"/>
    <xf numFmtId="0" fontId="9" fillId="0" borderId="0" xfId="0" applyFont="1" applyAlignment="1">
      <alignment vertical="center"/>
    </xf>
    <xf numFmtId="0" fontId="24" fillId="0" borderId="113" xfId="0" applyFont="1" applyBorder="1" applyAlignment="1">
      <alignment horizontal="center"/>
    </xf>
    <xf numFmtId="9" fontId="0" fillId="0" borderId="0" xfId="7877" applyFont="1"/>
    <xf numFmtId="49" fontId="9" fillId="0" borderId="113" xfId="0" applyNumberFormat="1" applyFont="1" applyBorder="1" applyAlignment="1">
      <alignment horizontal="center" wrapText="1"/>
    </xf>
    <xf numFmtId="0" fontId="9" fillId="0" borderId="113" xfId="0" applyFont="1" applyBorder="1" applyAlignment="1">
      <alignment vertical="center"/>
    </xf>
    <xf numFmtId="0" fontId="14" fillId="124" borderId="0" xfId="0" applyFont="1" applyFill="1"/>
    <xf numFmtId="1" fontId="36" fillId="124" borderId="0" xfId="0" applyNumberFormat="1" applyFont="1" applyFill="1"/>
    <xf numFmtId="0" fontId="0" fillId="0" borderId="130" xfId="0" applyBorder="1"/>
    <xf numFmtId="0" fontId="30" fillId="0" borderId="130" xfId="5320" applyFont="1" applyBorder="1"/>
    <xf numFmtId="1" fontId="0" fillId="0" borderId="130" xfId="0" applyNumberFormat="1" applyBorder="1"/>
    <xf numFmtId="0" fontId="2" fillId="0" borderId="130" xfId="0" applyFont="1" applyBorder="1"/>
    <xf numFmtId="0" fontId="31" fillId="0" borderId="130" xfId="5320" applyFont="1" applyBorder="1"/>
    <xf numFmtId="0" fontId="2" fillId="0" borderId="0" xfId="0" applyFont="1"/>
    <xf numFmtId="0" fontId="36" fillId="124" borderId="0" xfId="0" applyFont="1" applyFill="1"/>
    <xf numFmtId="0" fontId="9" fillId="0" borderId="0" xfId="0" applyFont="1" applyAlignment="1">
      <alignment horizontal="center" wrapText="1"/>
    </xf>
    <xf numFmtId="39" fontId="29" fillId="123" borderId="0" xfId="0" applyNumberFormat="1" applyFont="1" applyFill="1" applyAlignment="1">
      <alignment horizontal="left" vertical="center" wrapText="1"/>
    </xf>
    <xf numFmtId="1" fontId="29" fillId="123" borderId="0" xfId="0" applyNumberFormat="1" applyFont="1" applyFill="1" applyAlignment="1">
      <alignment horizontal="center" vertical="center"/>
    </xf>
    <xf numFmtId="1" fontId="29" fillId="114" borderId="0" xfId="0" applyNumberFormat="1" applyFont="1" applyFill="1" applyAlignment="1">
      <alignment vertical="center" wrapText="1"/>
    </xf>
    <xf numFmtId="39" fontId="29" fillId="114" borderId="0" xfId="0" applyNumberFormat="1" applyFont="1" applyFill="1" applyAlignment="1">
      <alignment horizontal="left" vertical="center" wrapText="1"/>
    </xf>
    <xf numFmtId="1" fontId="29" fillId="114" borderId="0" xfId="0" applyNumberFormat="1" applyFont="1" applyFill="1" applyAlignment="1">
      <alignment horizontal="center" vertical="center"/>
    </xf>
    <xf numFmtId="0" fontId="30" fillId="0" borderId="19" xfId="7873" applyFont="1" applyBorder="1" applyAlignment="1">
      <alignment horizontal="center" vertical="center"/>
    </xf>
    <xf numFmtId="0" fontId="30" fillId="0" borderId="24" xfId="7873" applyFont="1" applyBorder="1" applyAlignment="1">
      <alignment horizontal="center" vertical="center"/>
    </xf>
    <xf numFmtId="0" fontId="30" fillId="0" borderId="25" xfId="7873" applyFont="1" applyBorder="1" applyAlignment="1">
      <alignment horizontal="center" vertical="center"/>
    </xf>
    <xf numFmtId="0" fontId="30" fillId="0" borderId="40" xfId="7873" applyFont="1" applyBorder="1" applyAlignment="1">
      <alignment horizontal="center" vertical="center"/>
    </xf>
    <xf numFmtId="0" fontId="30" fillId="0" borderId="41" xfId="7873" applyFont="1" applyBorder="1" applyAlignment="1">
      <alignment horizontal="center" vertical="center"/>
    </xf>
    <xf numFmtId="0" fontId="30" fillId="0" borderId="39" xfId="7873" applyFont="1" applyBorder="1" applyAlignment="1">
      <alignment horizontal="center" vertical="center"/>
    </xf>
    <xf numFmtId="0" fontId="30" fillId="14" borderId="19" xfId="7873" applyFont="1" applyFill="1" applyBorder="1" applyAlignment="1">
      <alignment horizontal="center" vertical="center" wrapText="1"/>
    </xf>
    <xf numFmtId="0" fontId="30" fillId="14" borderId="25" xfId="7873" applyFont="1" applyFill="1" applyBorder="1" applyAlignment="1">
      <alignment horizontal="center" vertical="center" wrapText="1"/>
    </xf>
    <xf numFmtId="0" fontId="30" fillId="14" borderId="40" xfId="7873" applyFont="1" applyFill="1" applyBorder="1" applyAlignment="1">
      <alignment horizontal="center" vertical="center"/>
    </xf>
    <xf numFmtId="0" fontId="30" fillId="14" borderId="41" xfId="7873" applyFont="1" applyFill="1" applyBorder="1" applyAlignment="1">
      <alignment horizontal="center" vertical="center"/>
    </xf>
    <xf numFmtId="0" fontId="30" fillId="14" borderId="39" xfId="7873" applyFont="1" applyFill="1" applyBorder="1" applyAlignment="1">
      <alignment horizontal="center" vertical="center"/>
    </xf>
    <xf numFmtId="0" fontId="25" fillId="20" borderId="18" xfId="7873" applyFont="1" applyFill="1" applyBorder="1" applyAlignment="1">
      <alignment vertical="center" wrapText="1"/>
    </xf>
    <xf numFmtId="0" fontId="199" fillId="14" borderId="0" xfId="7873" applyFont="1" applyFill="1" applyAlignment="1">
      <alignment horizontal="center" vertical="center"/>
    </xf>
    <xf numFmtId="0" fontId="29" fillId="130" borderId="15" xfId="7873" applyFont="1" applyFill="1" applyBorder="1" applyAlignment="1">
      <alignment horizontal="center" vertical="center" wrapText="1"/>
    </xf>
    <xf numFmtId="0" fontId="29" fillId="130" borderId="109" xfId="7873" applyFont="1" applyFill="1" applyBorder="1" applyAlignment="1">
      <alignment horizontal="center" vertical="center" wrapText="1"/>
    </xf>
    <xf numFmtId="0" fontId="29" fillId="130" borderId="100" xfId="7873" applyFont="1" applyFill="1" applyBorder="1" applyAlignment="1">
      <alignment horizontal="center" vertical="center" wrapText="1"/>
    </xf>
    <xf numFmtId="0" fontId="30" fillId="14" borderId="19" xfId="7873" applyFont="1" applyFill="1" applyBorder="1" applyAlignment="1">
      <alignment horizontal="center" vertical="center"/>
    </xf>
    <xf numFmtId="0" fontId="30" fillId="14" borderId="24" xfId="7873" applyFont="1" applyFill="1" applyBorder="1" applyAlignment="1">
      <alignment horizontal="center" vertical="center"/>
    </xf>
    <xf numFmtId="0" fontId="30" fillId="14" borderId="25" xfId="7873" applyFont="1" applyFill="1" applyBorder="1" applyAlignment="1">
      <alignment horizontal="center" vertical="center"/>
    </xf>
    <xf numFmtId="0" fontId="30" fillId="14" borderId="24" xfId="7873" applyFont="1" applyFill="1" applyBorder="1" applyAlignment="1">
      <alignment horizontal="center" vertical="center" wrapText="1"/>
    </xf>
    <xf numFmtId="0" fontId="25" fillId="20" borderId="18" xfId="7873" applyFont="1" applyFill="1" applyBorder="1" applyAlignment="1">
      <alignment horizontal="center" vertical="center" wrapText="1"/>
    </xf>
    <xf numFmtId="0" fontId="29" fillId="9" borderId="15" xfId="7873" applyFont="1" applyFill="1" applyBorder="1" applyAlignment="1">
      <alignment horizontal="center" vertical="center" wrapText="1"/>
    </xf>
    <xf numFmtId="0" fontId="29" fillId="9" borderId="109" xfId="7873" applyFont="1" applyFill="1" applyBorder="1" applyAlignment="1">
      <alignment horizontal="center" vertical="center" wrapText="1"/>
    </xf>
    <xf numFmtId="0" fontId="29" fillId="9" borderId="100" xfId="7873" applyFont="1" applyFill="1" applyBorder="1" applyAlignment="1">
      <alignment horizontal="center" vertical="center" wrapText="1"/>
    </xf>
    <xf numFmtId="0" fontId="30" fillId="14" borderId="106" xfId="7873" applyFont="1" applyFill="1" applyBorder="1" applyAlignment="1">
      <alignment horizontal="center" vertical="center"/>
    </xf>
    <xf numFmtId="0" fontId="30" fillId="14" borderId="107" xfId="7873" applyFont="1" applyFill="1" applyBorder="1" applyAlignment="1">
      <alignment horizontal="center" vertical="center"/>
    </xf>
    <xf numFmtId="0" fontId="30" fillId="14" borderId="108" xfId="7873" applyFont="1" applyFill="1" applyBorder="1" applyAlignment="1">
      <alignment horizontal="center" vertical="center"/>
    </xf>
    <xf numFmtId="0" fontId="185" fillId="0" borderId="104" xfId="0" applyFont="1" applyBorder="1" applyAlignment="1">
      <alignment horizontal="center" vertical="center"/>
    </xf>
    <xf numFmtId="0" fontId="203" fillId="116" borderId="101" xfId="0" applyFont="1" applyFill="1" applyBorder="1" applyAlignment="1">
      <alignment horizontal="center" vertical="center"/>
    </xf>
    <xf numFmtId="0" fontId="185" fillId="0" borderId="0" xfId="0" applyFont="1" applyAlignment="1">
      <alignment horizontal="center" vertical="center"/>
    </xf>
    <xf numFmtId="0" fontId="185" fillId="0" borderId="111" xfId="0" applyFont="1" applyBorder="1" applyAlignment="1">
      <alignment horizontal="center" vertical="center"/>
    </xf>
    <xf numFmtId="0" fontId="185" fillId="0" borderId="112" xfId="0" applyFont="1" applyBorder="1" applyAlignment="1">
      <alignment horizontal="center" vertical="center"/>
    </xf>
    <xf numFmtId="0" fontId="14" fillId="17" borderId="0" xfId="0" applyFont="1" applyFill="1" applyAlignment="1">
      <alignment horizontal="center" vertical="center"/>
    </xf>
    <xf numFmtId="0" fontId="40" fillId="0" borderId="116" xfId="65" applyFont="1" applyBorder="1" applyAlignment="1">
      <alignment horizontal="left" vertical="center"/>
    </xf>
    <xf numFmtId="0" fontId="40" fillId="0" borderId="119" xfId="65" applyFont="1" applyBorder="1" applyAlignment="1">
      <alignment horizontal="left" vertical="center"/>
    </xf>
    <xf numFmtId="0" fontId="40" fillId="0" borderId="118" xfId="65" applyFont="1" applyBorder="1" applyAlignment="1">
      <alignment horizontal="left" vertical="center"/>
    </xf>
    <xf numFmtId="0" fontId="0" fillId="0" borderId="119" xfId="0" applyBorder="1" applyAlignment="1">
      <alignment horizontal="left" vertical="center"/>
    </xf>
    <xf numFmtId="0" fontId="0" fillId="0" borderId="118" xfId="0" applyBorder="1" applyAlignment="1">
      <alignment horizontal="left" vertical="center"/>
    </xf>
    <xf numFmtId="0" fontId="207" fillId="0" borderId="116" xfId="0" applyFont="1" applyBorder="1" applyAlignment="1">
      <alignment horizontal="left" vertical="center"/>
    </xf>
    <xf numFmtId="0" fontId="207" fillId="0" borderId="118" xfId="0" applyFont="1" applyBorder="1" applyAlignment="1">
      <alignment horizontal="left" vertical="center"/>
    </xf>
    <xf numFmtId="220" fontId="207" fillId="0" borderId="116" xfId="0" applyNumberFormat="1" applyFont="1" applyBorder="1" applyAlignment="1">
      <alignment horizontal="right" vertical="center"/>
    </xf>
    <xf numFmtId="220" fontId="0" fillId="0" borderId="118" xfId="0" applyNumberFormat="1" applyBorder="1" applyAlignment="1">
      <alignment horizontal="right" vertical="center"/>
    </xf>
    <xf numFmtId="220" fontId="40" fillId="0" borderId="116" xfId="7877" applyNumberFormat="1" applyFont="1" applyBorder="1" applyAlignment="1">
      <alignment horizontal="right" vertical="center"/>
    </xf>
    <xf numFmtId="220" fontId="0" fillId="0" borderId="119" xfId="0" applyNumberFormat="1" applyBorder="1" applyAlignment="1">
      <alignment horizontal="right" vertical="center"/>
    </xf>
    <xf numFmtId="0" fontId="207" fillId="0" borderId="119" xfId="0" applyFont="1" applyBorder="1" applyAlignment="1">
      <alignment horizontal="left" vertical="center"/>
    </xf>
    <xf numFmtId="220" fontId="207" fillId="0" borderId="116" xfId="0" applyNumberFormat="1" applyFont="1" applyBorder="1" applyAlignment="1">
      <alignment horizontal="left" vertical="center"/>
    </xf>
    <xf numFmtId="220" fontId="207" fillId="0" borderId="119" xfId="0" applyNumberFormat="1" applyFont="1" applyBorder="1" applyAlignment="1">
      <alignment horizontal="left" vertical="center"/>
    </xf>
    <xf numFmtId="220" fontId="207" fillId="0" borderId="118" xfId="0" applyNumberFormat="1" applyFont="1" applyBorder="1" applyAlignment="1">
      <alignment horizontal="left" vertical="center"/>
    </xf>
    <xf numFmtId="220" fontId="207" fillId="0" borderId="121" xfId="0" applyNumberFormat="1" applyFont="1" applyBorder="1" applyAlignment="1">
      <alignment horizontal="left" vertical="center"/>
    </xf>
    <xf numFmtId="220" fontId="207" fillId="0" borderId="122" xfId="0" applyNumberFormat="1" applyFont="1" applyBorder="1" applyAlignment="1">
      <alignment horizontal="left" vertical="center"/>
    </xf>
    <xf numFmtId="220" fontId="208" fillId="0" borderId="121" xfId="0" applyNumberFormat="1" applyFont="1" applyBorder="1" applyAlignment="1">
      <alignment horizontal="left" vertical="center"/>
    </xf>
    <xf numFmtId="220" fontId="208" fillId="0" borderId="122" xfId="0" applyNumberFormat="1" applyFont="1" applyBorder="1" applyAlignment="1">
      <alignment horizontal="left" vertical="center"/>
    </xf>
    <xf numFmtId="170" fontId="2" fillId="0" borderId="130" xfId="11" applyNumberFormat="1" applyFont="1" applyBorder="1"/>
  </cellXfs>
  <cellStyles count="7878">
    <cellStyle name="_x000a_386grabber=M" xfId="91" xr:uid="{D4A2E9EF-2702-4D21-B3BF-6A0836B17553}"/>
    <cellStyle name="_x000a_386grabber=M 2" xfId="92" xr:uid="{455C6CD1-B4B7-4075-8488-B66A980735B0}"/>
    <cellStyle name="_x000a_386grabber=M 2 2" xfId="93" xr:uid="{3F77FCEE-9FFE-4F34-A979-8ECC05603224}"/>
    <cellStyle name="_x000a_386grabber=M 2 2 2" xfId="3822" xr:uid="{9069DB29-45B8-4F6B-A552-A5B8DE6F796A}"/>
    <cellStyle name="_x000a_386grabber=M 2 3" xfId="94" xr:uid="{A74A23A0-EAED-4CAB-A4FA-2BF442A8D84A}"/>
    <cellStyle name="_x000a_386grabber=M 2 3 2" xfId="3823" xr:uid="{C8170EF2-9398-492F-8AD9-3FC93CE143CF}"/>
    <cellStyle name="_x000a_386grabber=M 2 4" xfId="95" xr:uid="{08BFE391-643C-4571-A36F-F1506C6FD14D}"/>
    <cellStyle name="_x000a_386grabber=M 2 4 2" xfId="3824" xr:uid="{7341662A-00D4-485D-AABA-9A6375144C2E}"/>
    <cellStyle name="_x000a_386grabber=M 2 5" xfId="96" xr:uid="{740176B9-3A1A-4F50-BF87-D8F13B538466}"/>
    <cellStyle name="_x000a_386grabber=M 2 5 2" xfId="3825" xr:uid="{4F25BD89-8408-40A3-8BBB-164928D53880}"/>
    <cellStyle name="_x000a_386grabber=M 2 6" xfId="97" xr:uid="{44FB7199-6609-4C5A-BCE0-A7952C29D008}"/>
    <cellStyle name="_x000a_386grabber=M 2 6 2" xfId="3826" xr:uid="{90E47639-119A-44DD-ABB1-D73BB2646AB9}"/>
    <cellStyle name="_x000a_386grabber=M 2 7" xfId="98" xr:uid="{12F994D6-1E84-4E39-8F09-1B43D28CC31E}"/>
    <cellStyle name="_x000a_386grabber=M 2 8" xfId="99" xr:uid="{AFAA3059-57AA-4BFD-99F1-5C1A59B5DFA1}"/>
    <cellStyle name="_x000a_386grabber=M 2_ActiFijos" xfId="100" xr:uid="{CB8786BF-AA23-42C8-AEF0-32505E8E81F9}"/>
    <cellStyle name="_x000a_386grabber=M 3" xfId="101" xr:uid="{98D252AB-267E-42C8-8EDE-400BFE2963AE}"/>
    <cellStyle name="_x000a_386grabber=M 3 2" xfId="102" xr:uid="{390130A4-9248-4AC0-BEBB-159130E83F17}"/>
    <cellStyle name="_x000a_386grabber=M 3 2 2" xfId="3827" xr:uid="{AE2B8243-9F7D-4CA1-A3A4-D60D3D165E6D}"/>
    <cellStyle name="_x000a_386grabber=M 3 3" xfId="103" xr:uid="{9382699D-D0C1-4146-AC73-246F4F6FCE73}"/>
    <cellStyle name="_x000a_386grabber=M 3 3 2" xfId="3828" xr:uid="{8B039047-D51E-459F-BB59-A228DC35086C}"/>
    <cellStyle name="_x000a_386grabber=M 3 4" xfId="104" xr:uid="{EE0B3260-98CD-4632-936C-97A6D5389CEA}"/>
    <cellStyle name="_x000a_386grabber=M 3 4 2" xfId="3829" xr:uid="{5411824B-1CBD-4A83-BD72-F52C124574BF}"/>
    <cellStyle name="_x000a_386grabber=M 3 5" xfId="105" xr:uid="{76CF6B9A-32AF-457C-89B2-3DF4AB859671}"/>
    <cellStyle name="_x000a_386grabber=M 3 5 2" xfId="3830" xr:uid="{E42479C1-D626-47D6-9952-372DD86CCCE2}"/>
    <cellStyle name="_x000a_386grabber=M 3 6" xfId="106" xr:uid="{E92244C7-7554-4A57-A057-0A8993B40017}"/>
    <cellStyle name="_x000a_386grabber=M 3 6 2" xfId="3831" xr:uid="{26C4AD33-E44D-4E81-A60B-5FBBBF33220B}"/>
    <cellStyle name="_x000a_386grabber=M 3 7" xfId="107" xr:uid="{0955B748-FACD-4741-BB42-90A996C691FB}"/>
    <cellStyle name="_x000a_386grabber=M 3 8" xfId="108" xr:uid="{49DAEFB3-B666-4D91-AD76-3A3320238F38}"/>
    <cellStyle name="_x000a_386grabber=M 3_ActiFijos" xfId="109" xr:uid="{43E3D8C1-DAC6-44FC-95C9-656975DB04AA}"/>
    <cellStyle name="_x000a_386grabber=M 4" xfId="110" xr:uid="{0A5BF1A1-D240-4956-8E5C-29BEB2626CB2}"/>
    <cellStyle name="_x000a_386grabber=M 4 2" xfId="111" xr:uid="{CABD9A92-CED1-4031-B56E-7667EDA206BE}"/>
    <cellStyle name="_x000a_386grabber=M 4 2 2" xfId="3832" xr:uid="{26CB11D7-6E32-4D0C-8D53-07424E8EB86A}"/>
    <cellStyle name="_x000a_386grabber=M 4 3" xfId="112" xr:uid="{7C927F4F-20EE-4AE9-87A6-EB2587508058}"/>
    <cellStyle name="_x000a_386grabber=M 4 3 2" xfId="3833" xr:uid="{05AD1AD5-2999-4CFC-9A6D-E3A75914FA2B}"/>
    <cellStyle name="_x000a_386grabber=M 4 4" xfId="113" xr:uid="{02C17CEB-308F-4CC7-8C8B-219F68EBE3F8}"/>
    <cellStyle name="_x000a_386grabber=M 4 4 2" xfId="3834" xr:uid="{9193B453-0B09-41AE-8327-A15869C264B1}"/>
    <cellStyle name="_x000a_386grabber=M 4 5" xfId="114" xr:uid="{8F08FE14-E2CF-4AC9-A7F0-11B1B7439541}"/>
    <cellStyle name="_x000a_386grabber=M 4 5 2" xfId="3835" xr:uid="{C8752261-25A1-444C-9305-3A3E33E8AA3A}"/>
    <cellStyle name="_x000a_386grabber=M 4 6" xfId="115" xr:uid="{5AACFFAC-2027-426B-9E76-A926328216B5}"/>
    <cellStyle name="_x000a_386grabber=M 4 6 2" xfId="3836" xr:uid="{EB90752D-8884-4554-B05D-9AEC6AB87606}"/>
    <cellStyle name="_x000a_386grabber=M 4 7" xfId="116" xr:uid="{8F85E010-A21E-4BB4-BF4B-1F70421D6BC4}"/>
    <cellStyle name="_x000a_386grabber=M 4 8" xfId="117" xr:uid="{3E44C281-27B0-43DB-B2F2-A1728E80A7F9}"/>
    <cellStyle name="_x000a_386grabber=M 4_ActiFijos" xfId="118" xr:uid="{FC9CC6C2-DC37-4908-BDD4-FD134DD29FCD}"/>
    <cellStyle name="_x000a_386grabber=M 5" xfId="3837" xr:uid="{CF9B624F-E81D-4A11-9F1A-81F2BDD6AA71}"/>
    <cellStyle name="_x000a_386grabber=M_Bases_Generales" xfId="119" xr:uid="{BF830D05-CC13-4FA8-9B88-270CFE597FB5}"/>
    <cellStyle name="$0,000" xfId="120" xr:uid="{C8487FEC-14AD-4DE6-B3C3-A187C9E0AA5F}"/>
    <cellStyle name="$0,000 2" xfId="121" xr:uid="{70326958-634A-4EC8-BDEA-47B56599C062}"/>
    <cellStyle name="$0,000 2 2" xfId="122" xr:uid="{D30351F5-48D5-4AC0-A034-FA759EB81910}"/>
    <cellStyle name="$0,000 2 2 2" xfId="3746" xr:uid="{F6093C04-775E-4615-928B-F4ABF65CEC65}"/>
    <cellStyle name="$0,000 2 3" xfId="123" xr:uid="{2A7E6FE6-2A31-41A9-8A93-5FFDED6EB158}"/>
    <cellStyle name="$0,000 2 3 2" xfId="3747" xr:uid="{5A1C0EC5-9AC4-48C4-A435-C0C3C2CB7B52}"/>
    <cellStyle name="$0,000 2 4" xfId="124" xr:uid="{1DEFC428-9227-4874-93CB-FF23A077F2D4}"/>
    <cellStyle name="$0,000 2 4 2" xfId="3748" xr:uid="{2E2DF8A8-1934-48E4-9863-7FDD58322DB3}"/>
    <cellStyle name="$0,000 2 5" xfId="125" xr:uid="{5403C375-1905-4E4F-B82A-68C763B2F783}"/>
    <cellStyle name="$0,000 2 5 2" xfId="3749" xr:uid="{B05BBCC4-2737-42B5-A2B4-B487C42753CD}"/>
    <cellStyle name="$0,000 2 6" xfId="126" xr:uid="{DF28C18E-9E59-477B-A97C-FA966765D20E}"/>
    <cellStyle name="$0,000 2 6 2" xfId="3750" xr:uid="{CEF28875-724F-4645-BFD0-BBCAECF58A7B}"/>
    <cellStyle name="$0,000 2 7" xfId="127" xr:uid="{6A261C53-E729-4E9F-B2C2-788631DCE29E}"/>
    <cellStyle name="$0,000 2 7 2" xfId="3751" xr:uid="{B74F90D6-C40B-444C-8D18-6AA0D62046E3}"/>
    <cellStyle name="$0,000 2 8" xfId="128" xr:uid="{BDDE1743-C008-4774-84FC-406825440877}"/>
    <cellStyle name="$0,000 2 8 2" xfId="3752" xr:uid="{3B6640F2-106F-417D-97A6-94592C754920}"/>
    <cellStyle name="$0,000 2 9" xfId="3745" xr:uid="{E4D4FCEE-BB53-468C-B774-BD20A5295CFA}"/>
    <cellStyle name="$0,000 3" xfId="129" xr:uid="{0FA3F6C8-0FD8-424F-9234-535CBCF46C46}"/>
    <cellStyle name="$0,000 3 2" xfId="130" xr:uid="{8F380996-5C7D-44F9-B057-60CB7F5F4BA7}"/>
    <cellStyle name="$0,000 3 2 2" xfId="3754" xr:uid="{F4AC11DB-9108-4CC2-BDEA-BA2E96726040}"/>
    <cellStyle name="$0,000 3 3" xfId="131" xr:uid="{8A1EE77E-B363-4F35-A5E1-52C9849364CA}"/>
    <cellStyle name="$0,000 3 3 2" xfId="3755" xr:uid="{FCDA58A0-7408-4749-88F7-E5A9D09E063D}"/>
    <cellStyle name="$0,000 3 4" xfId="132" xr:uid="{2A7638C3-F4D2-4A59-91EF-5179C23DD307}"/>
    <cellStyle name="$0,000 3 4 2" xfId="3756" xr:uid="{36E4F7C9-8DB1-45B2-94C3-3354BFA199BD}"/>
    <cellStyle name="$0,000 3 5" xfId="133" xr:uid="{DA29D762-F73C-4ED0-B0D9-5223028C650F}"/>
    <cellStyle name="$0,000 3 5 2" xfId="3757" xr:uid="{4F8CFF44-E9D0-4FAE-9799-47BD369AF668}"/>
    <cellStyle name="$0,000 3 6" xfId="134" xr:uid="{69D3282F-B8BE-46E7-8331-FD5BC411FF53}"/>
    <cellStyle name="$0,000 3 6 2" xfId="3758" xr:uid="{969EDF5A-0EF2-45F6-82AB-1E7D6A23C632}"/>
    <cellStyle name="$0,000 3 7" xfId="135" xr:uid="{B2FCE5BF-0147-4660-9800-36ED4F696FC8}"/>
    <cellStyle name="$0,000 3 7 2" xfId="3759" xr:uid="{7AAFC50D-3E48-420A-9657-D5167966C135}"/>
    <cellStyle name="$0,000 3 8" xfId="136" xr:uid="{783084CF-5D42-4C2D-86AB-F014D89A651E}"/>
    <cellStyle name="$0,000 3 8 2" xfId="3760" xr:uid="{B926B270-8280-423C-ABAD-52068EF4DE30}"/>
    <cellStyle name="$0,000 3 9" xfId="3753" xr:uid="{7E4D06F5-AEBB-42E2-9F2D-C403A56488F9}"/>
    <cellStyle name="$0,000 4" xfId="137" xr:uid="{58867603-B771-45CD-BA81-9E3BCE9D5A7B}"/>
    <cellStyle name="$0,000 4 2" xfId="138" xr:uid="{005DDF8A-B1F4-48C4-9A91-A3C25FC9B163}"/>
    <cellStyle name="$0,000 4 2 2" xfId="3762" xr:uid="{83028BF4-AFB9-426A-BEF5-F34D96A1F2C2}"/>
    <cellStyle name="$0,000 4 3" xfId="139" xr:uid="{760DDA2E-DBB7-4870-BDB5-6CD819DB961B}"/>
    <cellStyle name="$0,000 4 3 2" xfId="3763" xr:uid="{D17AA720-8EFC-4A41-B907-737043BFFA42}"/>
    <cellStyle name="$0,000 4 4" xfId="140" xr:uid="{9D2E194B-4B85-4C37-947A-4733BB26E9FE}"/>
    <cellStyle name="$0,000 4 4 2" xfId="3764" xr:uid="{7D37016A-BFB2-49A3-B9A8-A5CCB610B089}"/>
    <cellStyle name="$0,000 4 5" xfId="141" xr:uid="{FEAB1DB6-57D8-4361-B9FC-13C0A6A2D8AF}"/>
    <cellStyle name="$0,000 4 5 2" xfId="3765" xr:uid="{EDEF8D5E-C134-4904-B163-35B80D043834}"/>
    <cellStyle name="$0,000 4 6" xfId="142" xr:uid="{DEDE80DE-0033-4864-86A2-069C648956AA}"/>
    <cellStyle name="$0,000 4 6 2" xfId="3766" xr:uid="{FE2C091E-B806-4BCF-AB8E-0384406DD39D}"/>
    <cellStyle name="$0,000 4 7" xfId="143" xr:uid="{2CA9F882-1E90-4D8E-A7F9-C66F0F4B665C}"/>
    <cellStyle name="$0,000 4 7 2" xfId="3767" xr:uid="{E28EADE4-2842-44C7-BF21-FC4AA0DD1521}"/>
    <cellStyle name="$0,000 4 8" xfId="144" xr:uid="{2827102F-C7F8-4FD9-BDF7-B47DD48028DF}"/>
    <cellStyle name="$0,000 4 8 2" xfId="3768" xr:uid="{FC25E15F-EF2A-4360-8B13-4B3B07839892}"/>
    <cellStyle name="$0,000 4 9" xfId="3761" xr:uid="{6DDDD891-3801-4512-A634-5EA53CB8A1F0}"/>
    <cellStyle name="$0,000 5" xfId="3744" xr:uid="{D81D5A66-FB2D-4788-83CF-0E7EFDB491BD}"/>
    <cellStyle name="$0." xfId="145" xr:uid="{3FD612FC-6021-43C2-9188-40B0BCEDE7AA}"/>
    <cellStyle name="$0.00" xfId="146" xr:uid="{C5B75DE2-FD25-4FB3-870F-54896C399CE0}"/>
    <cellStyle name="%" xfId="12" xr:uid="{01EAC725-E829-4A15-A717-61DBB68D1BCF}"/>
    <cellStyle name="% 2" xfId="148" xr:uid="{3B94F130-52FF-46E8-93DC-AE5D621B20E4}"/>
    <cellStyle name="% 2 2" xfId="149" xr:uid="{60E5F957-8FAD-4BEA-B1D8-4E79D9C7FAEE}"/>
    <cellStyle name="% 2 2 2" xfId="3838" xr:uid="{26A4344D-4383-4E82-9E8D-B451C296422B}"/>
    <cellStyle name="% 2 3" xfId="150" xr:uid="{0E13BE7B-FBB5-42F9-B596-9CDAABD80D6A}"/>
    <cellStyle name="% 2 3 2" xfId="3839" xr:uid="{9067750B-9954-4750-9D22-E02761D9D465}"/>
    <cellStyle name="% 2 4" xfId="151" xr:uid="{691D0F0A-145F-4AE9-93F7-5B97D84187F0}"/>
    <cellStyle name="% 2 4 2" xfId="3840" xr:uid="{E038A8FC-590E-41E2-9E79-559654964744}"/>
    <cellStyle name="% 2 5" xfId="152" xr:uid="{AEF56F27-6CEC-4939-BACE-3EC396B86454}"/>
    <cellStyle name="% 2 5 2" xfId="3841" xr:uid="{9258F3D3-F032-4E32-B7A1-208D6BFE50CD}"/>
    <cellStyle name="% 2 6" xfId="153" xr:uid="{052BCF10-1F7B-458F-B911-ADED82752488}"/>
    <cellStyle name="% 2 6 2" xfId="3842" xr:uid="{3197B087-0695-4F45-A02F-E9D27DFBD85A}"/>
    <cellStyle name="% 2 7" xfId="154" xr:uid="{A738409A-75E8-4A29-B4F8-9159BA5A6731}"/>
    <cellStyle name="% 2 8" xfId="155" xr:uid="{D3B96DD0-B90B-4C96-BA66-A1C65F4D9BF5}"/>
    <cellStyle name="% 2_ActiFijos" xfId="156" xr:uid="{EE32869F-7003-44A0-AF32-BB38E619F89E}"/>
    <cellStyle name="% 3" xfId="157" xr:uid="{CEBAA6A1-DB1F-4F11-8217-F7903AAC99B5}"/>
    <cellStyle name="% 3 2" xfId="158" xr:uid="{0A9F743A-7F05-43E1-8CDC-52FBCFC293A9}"/>
    <cellStyle name="% 3 2 2" xfId="3843" xr:uid="{AE0E7109-654A-4833-980A-ACE3EDEA2526}"/>
    <cellStyle name="% 3 3" xfId="159" xr:uid="{E1E833FD-5430-4FD4-ABBD-1E810D459460}"/>
    <cellStyle name="% 3 3 2" xfId="3844" xr:uid="{D31DF946-3B77-4AED-BC61-07E31F3AB2F2}"/>
    <cellStyle name="% 3 4" xfId="160" xr:uid="{4BCF1876-B41F-4EF8-ABC6-7202418B7381}"/>
    <cellStyle name="% 3 4 2" xfId="3845" xr:uid="{C42DBD1E-B3D4-47D7-B5A1-8F7EF9C2DA89}"/>
    <cellStyle name="% 3 5" xfId="161" xr:uid="{BCA8F82C-7FE8-4FF8-BE63-2EA27C0159CB}"/>
    <cellStyle name="% 3 5 2" xfId="3846" xr:uid="{373F6A4E-4177-4415-87F4-4CBAB26367C2}"/>
    <cellStyle name="% 3 6" xfId="162" xr:uid="{05739192-923E-4EDE-AC6F-8908860A7794}"/>
    <cellStyle name="% 3 6 2" xfId="3847" xr:uid="{8850C498-2645-4983-BBE0-BD585092F039}"/>
    <cellStyle name="% 3 7" xfId="163" xr:uid="{15DD888B-D266-4FE1-BE74-0ED9611EB06E}"/>
    <cellStyle name="% 3 8" xfId="164" xr:uid="{DACB6C91-B17E-4495-8A34-F6D3F9B6AD2E}"/>
    <cellStyle name="% 3_ActiFijos" xfId="165" xr:uid="{8A54EFB3-F278-4147-AD7B-3EAD7AF3044F}"/>
    <cellStyle name="% 4" xfId="166" xr:uid="{9303EB3D-7D85-49A4-B1E2-7F0B31F640AE}"/>
    <cellStyle name="% 4 2" xfId="167" xr:uid="{4B19D709-6825-4938-8A69-308D32D77C6C}"/>
    <cellStyle name="% 4 2 2" xfId="3848" xr:uid="{33E2F4B3-C6A4-4C02-97BE-416BC03B1258}"/>
    <cellStyle name="% 4 3" xfId="168" xr:uid="{B95AD96D-0D6A-45B1-B4DC-19670729D542}"/>
    <cellStyle name="% 4 3 2" xfId="3849" xr:uid="{699203B9-7AE0-4BF8-AEFB-50556D66C52C}"/>
    <cellStyle name="% 4 4" xfId="169" xr:uid="{5848B7CC-711B-4526-9436-C88FECF2FED7}"/>
    <cellStyle name="% 4 4 2" xfId="3850" xr:uid="{027ED023-71C6-4003-BAEB-7A74716E7105}"/>
    <cellStyle name="% 4 5" xfId="170" xr:uid="{FE310ED5-E331-4F06-B285-39F2B2B6B07B}"/>
    <cellStyle name="% 4 5 2" xfId="3851" xr:uid="{FAC28476-E849-4D40-90F1-C02083F308F6}"/>
    <cellStyle name="% 4 6" xfId="171" xr:uid="{99CE3E71-3541-473F-8D0A-0F17081B3FAC}"/>
    <cellStyle name="% 4 6 2" xfId="3852" xr:uid="{504BCC29-2EA2-4804-A7D0-D4332936BCBC}"/>
    <cellStyle name="% 4 7" xfId="172" xr:uid="{E800F0A5-AA30-4C55-9162-607DD9FACB99}"/>
    <cellStyle name="% 4 8" xfId="173" xr:uid="{7D5DEA9E-0D62-4F8F-8399-45AB72508315}"/>
    <cellStyle name="% 4_ActiFijos" xfId="174" xr:uid="{A47EAAAA-8033-475C-9F29-743CEC0E7B0E}"/>
    <cellStyle name="% 5" xfId="3853" xr:uid="{3F4E9676-D7C9-4093-B77F-798E83C23EBE}"/>
    <cellStyle name="% 6" xfId="147" xr:uid="{5AF9D6B4-3DB5-40B0-A202-A6827C3632B0}"/>
    <cellStyle name="%_Balanc" xfId="175" xr:uid="{B24A7B74-C3DD-4CA4-9D50-D72DA6305488}"/>
    <cellStyle name="%_Balanc 2" xfId="176" xr:uid="{B05F1458-ED4E-4868-A5B9-A43B79B572F6}"/>
    <cellStyle name="%_Balanc 2 2" xfId="3854" xr:uid="{ED71B906-F0D4-45B3-915D-0AA348760A30}"/>
    <cellStyle name="%_Balanc 3" xfId="177" xr:uid="{8730C3C2-08A7-405D-8F8C-0A82DE362856}"/>
    <cellStyle name="%_Balanc 3 2" xfId="3855" xr:uid="{261DACA2-9D3F-4C53-8BC5-E3B6649F28CC}"/>
    <cellStyle name="%_Balanc 4" xfId="178" xr:uid="{4338160F-6AB8-4DCE-8C51-927B16464A37}"/>
    <cellStyle name="%_Balanc 4 2" xfId="3856" xr:uid="{FE80FF08-DAE9-45C6-A5DB-2168A9F407C9}"/>
    <cellStyle name="%_Balanc 5" xfId="179" xr:uid="{A76EA924-D4AC-4909-BD69-2DDF289E31F5}"/>
    <cellStyle name="%_Balanc 5 2" xfId="3857" xr:uid="{273E4175-9363-4A22-9231-B2611B0CFB0C}"/>
    <cellStyle name="%_Balanc 6" xfId="180" xr:uid="{1BCCDB60-66E4-4AB1-A43E-CA017C6FB360}"/>
    <cellStyle name="%_Balanc 6 2" xfId="3858" xr:uid="{B975BE07-12A4-4360-A8B3-991DBBCF30CE}"/>
    <cellStyle name="%_Balanc 7" xfId="181" xr:uid="{8CD545CB-1B36-4325-A3FD-4949BC838622}"/>
    <cellStyle name="%_Balanc 8" xfId="182" xr:uid="{38D2A910-2CCE-43F6-A6E3-04F569DB7FAB}"/>
    <cellStyle name="%_Balanc_ActiFijos" xfId="183" xr:uid="{5E7E878E-4E37-4D39-954F-32432EE7A5A9}"/>
    <cellStyle name="%_Balanc_ActiFijos 2" xfId="3859" xr:uid="{0360C2B9-D4D9-4EDD-97BD-94FF52AEC899}"/>
    <cellStyle name="%_Balanc_C.M.E." xfId="184" xr:uid="{344E1DCC-F6A7-48D9-A4C8-6E65380C7F5B}"/>
    <cellStyle name="%_Balanc_C.M.E. 2" xfId="3860" xr:uid="{37E21711-4C12-438A-81A0-CA0294BBF7B3}"/>
    <cellStyle name="%_Balanc_C.M.L." xfId="185" xr:uid="{229EC58D-FEC5-4032-9356-A464F0596FCE}"/>
    <cellStyle name="%_Balanc_C.M.L. 2" xfId="3861" xr:uid="{DBCABF4A-957E-4BED-963C-6BB9AC774114}"/>
    <cellStyle name="%_Balanc_Esc.Macro" xfId="186" xr:uid="{2311D9A7-AFF3-4744-AE9E-56ECDA6423DF}"/>
    <cellStyle name="%_Balanc_Esc.Macro 2" xfId="3862" xr:uid="{631A362D-EA44-4B44-A1C3-8EDAF804237E}"/>
    <cellStyle name="%_Balance" xfId="187" xr:uid="{ED2E0529-A6C3-4185-A6CC-8131FA5AC3AB}"/>
    <cellStyle name="%_Balance 2" xfId="188" xr:uid="{77520B3F-946F-45CA-9D07-357FFA3DA81D}"/>
    <cellStyle name="%_Balance 2 2" xfId="3863" xr:uid="{54C4A50A-D22D-47B1-BE61-88FF83BF2046}"/>
    <cellStyle name="%_Balance 3" xfId="189" xr:uid="{250F8C9D-1860-42B2-852C-A614E2988605}"/>
    <cellStyle name="%_Balance 3 2" xfId="3864" xr:uid="{F121ACB6-9998-4DC1-9EA9-98370047C896}"/>
    <cellStyle name="%_Balance 4" xfId="190" xr:uid="{E9B60FCD-D010-40D1-A4E2-40DE1B68CEC1}"/>
    <cellStyle name="%_Balance 4 2" xfId="3865" xr:uid="{4C7E8659-D2DC-43CB-9AE0-22FEACACF4D5}"/>
    <cellStyle name="%_Balance 5" xfId="191" xr:uid="{51208E92-4341-4111-A45F-3394CD677A49}"/>
    <cellStyle name="%_Balance 5 2" xfId="3866" xr:uid="{B4C27720-9AA7-40D0-B679-EB04408EAEC5}"/>
    <cellStyle name="%_Balance 6" xfId="192" xr:uid="{40B9B318-DF71-478D-BD15-9987236BB740}"/>
    <cellStyle name="%_Balance 6 2" xfId="3867" xr:uid="{A556D8BE-43F3-45FD-87A6-21EA2FA2F637}"/>
    <cellStyle name="%_Balance 7" xfId="193" xr:uid="{E9E4F7C2-6380-4C41-9825-B4A690112F5B}"/>
    <cellStyle name="%_Balance 8" xfId="194" xr:uid="{771E1468-E673-481A-9551-F18248A409A9}"/>
    <cellStyle name="%_Balance_ActiFijos" xfId="195" xr:uid="{35CE6355-A8A5-4A61-A219-2EBEFA69ACCA}"/>
    <cellStyle name="%_Balance_ActiFijos 2" xfId="3868" xr:uid="{DD758B1A-D314-4AA9-8713-8F4CB707D169}"/>
    <cellStyle name="%_Balance_C.M.E." xfId="196" xr:uid="{CFF94933-B0FB-4E82-B4EB-9D48FB67EFC0}"/>
    <cellStyle name="%_Balance_C.M.E. 2" xfId="3869" xr:uid="{A556219F-6030-411F-B50F-877603039FD9}"/>
    <cellStyle name="%_Balance_C.M.L." xfId="197" xr:uid="{D885FFD6-5022-4D91-B5E4-3A95C91F4DE1}"/>
    <cellStyle name="%_Balance_C.M.L. 2" xfId="3870" xr:uid="{7D918787-2FD5-40A8-8C14-F2F0994F47FC}"/>
    <cellStyle name="%_Balance_Deuda septiembre_marcos" xfId="198" xr:uid="{E2C8D2A9-C528-4562-AEF7-EE473D71581F}"/>
    <cellStyle name="%_Balance_Esc.Macro" xfId="199" xr:uid="{FE96CAC2-A832-4B35-AAAD-CFD426F419DD}"/>
    <cellStyle name="%_Balance_Esc.Macro 2" xfId="3871" xr:uid="{834C29C2-E190-421D-B732-31A1CC430182}"/>
    <cellStyle name="%_Balance_G_Loans" xfId="200" xr:uid="{61B5A723-081B-451F-A174-9A036E4382F9}"/>
    <cellStyle name="%_Balance_G_Loans 2" xfId="3872" xr:uid="{3430BDB1-3DC4-4A97-97F8-AEE9E19E1C4C}"/>
    <cellStyle name="%_Balance_GRUPO4Q-2009 COMPLETO" xfId="3301" xr:uid="{70E6DFF5-EAE4-47C8-9D9E-AD20BB75B171}"/>
    <cellStyle name="%_Balance_Información relacionada" xfId="201" xr:uid="{E4AF147E-72A1-4550-A575-60C1D1A41BB7}"/>
    <cellStyle name="%_Bases_Generales" xfId="202" xr:uid="{7C082D6B-CA4C-482A-8885-3921CA9C7AA1}"/>
    <cellStyle name="%_Bases_Generales 2" xfId="203" xr:uid="{C2698B95-DC0C-4696-914E-073CF9C54B8A}"/>
    <cellStyle name="%_Bases_Generales 2 2" xfId="3873" xr:uid="{196F2F74-0C18-4223-BC4C-C264D3406FA3}"/>
    <cellStyle name="%_Bases_Generales 3" xfId="204" xr:uid="{FD7CEF39-40E9-4B93-AE7B-C8009DB4E98D}"/>
    <cellStyle name="%_Bases_Generales 3 2" xfId="3874" xr:uid="{9978C17E-6D06-4193-ADA3-98447D08B36B}"/>
    <cellStyle name="%_Bases_Generales 4" xfId="205" xr:uid="{96A44796-4E50-4CE5-8EC1-B84045892E94}"/>
    <cellStyle name="%_Bases_Generales 4 2" xfId="3875" xr:uid="{FC9584E9-2335-4DCA-8421-89EC847923A0}"/>
    <cellStyle name="%_Bases_Generales 5" xfId="206" xr:uid="{08166974-9432-4036-9B42-40C4DE24F05C}"/>
    <cellStyle name="%_Bases_Generales 5 2" xfId="3876" xr:uid="{D4E4624B-5BBB-4E2A-9632-ED46A4379D94}"/>
    <cellStyle name="%_Bases_Generales 6" xfId="207" xr:uid="{5B1091BD-2586-464F-BF0B-F1E9978B1F2A}"/>
    <cellStyle name="%_Bases_Generales 6 2" xfId="3877" xr:uid="{B52EC9C9-F45B-4DB9-90AC-C618FFEF0FCB}"/>
    <cellStyle name="%_Bases_Generales 7" xfId="208" xr:uid="{5041DC7D-1433-47AB-8D68-8BB183D94D62}"/>
    <cellStyle name="%_Bases_Generales 8" xfId="209" xr:uid="{A7A7E80E-30A0-4688-8B7C-983953CFE245}"/>
    <cellStyle name="%_Bases_Generales_1" xfId="210" xr:uid="{E453E242-224D-48DF-9B34-80D20B531EBD}"/>
    <cellStyle name="%_Bases_Generales_1 2" xfId="211" xr:uid="{AF5BFA4D-4427-4246-9DF0-B1F860C6E7B9}"/>
    <cellStyle name="%_Bases_Generales_1 2 2" xfId="3878" xr:uid="{11F01098-B66E-468C-BA22-AC09AFB73CB2}"/>
    <cellStyle name="%_Bases_Generales_1 3" xfId="212" xr:uid="{D2FE7297-9C1C-473C-9E42-5575510D3346}"/>
    <cellStyle name="%_Bases_Generales_1 3 2" xfId="3879" xr:uid="{4B992D6E-79C2-46A1-B890-6215D1FC403A}"/>
    <cellStyle name="%_Bases_Generales_1 4" xfId="213" xr:uid="{3ACF891A-1E65-4F82-B03B-BA1225C89B04}"/>
    <cellStyle name="%_Bases_Generales_1 4 2" xfId="3880" xr:uid="{12B17931-1256-4EF5-8896-74C630AD8EE4}"/>
    <cellStyle name="%_Bases_Generales_1 5" xfId="214" xr:uid="{12E9EE03-9AD4-4FB1-9873-5E2D561149A1}"/>
    <cellStyle name="%_Bases_Generales_1 5 2" xfId="3881" xr:uid="{6B4A31E5-7B12-4A61-92CA-1D091D5CADDC}"/>
    <cellStyle name="%_Bases_Generales_1 6" xfId="215" xr:uid="{C768342A-5319-495B-8227-BEBD9D3ADD69}"/>
    <cellStyle name="%_Bases_Generales_1 6 2" xfId="3882" xr:uid="{759F87DE-5F48-4494-85B4-A3088EA7285D}"/>
    <cellStyle name="%_Bases_Generales_1 7" xfId="216" xr:uid="{36EC80D4-BABB-4B29-B869-8B97D4990DE8}"/>
    <cellStyle name="%_Bases_Generales_1 8" xfId="217" xr:uid="{82348A40-2A2B-4938-8F6E-68A6D4F4CF17}"/>
    <cellStyle name="%_Bases_Generales_1_ActiFijos" xfId="218" xr:uid="{25B34776-1875-4D42-B7A9-AF219EEE2234}"/>
    <cellStyle name="%_Bases_Generales_1_ActiFijos 2" xfId="3883" xr:uid="{1248408F-F413-40D8-9E18-89E57EBAD385}"/>
    <cellStyle name="%_Bases_Generales_1_C.M.E." xfId="219" xr:uid="{AA1D6CEC-80B5-4F4C-B5E2-DBE3AC0E6D03}"/>
    <cellStyle name="%_Bases_Generales_1_C.M.E. 2" xfId="3884" xr:uid="{A3C99DBA-FA96-47D3-877E-33753957B6DD}"/>
    <cellStyle name="%_Bases_Generales_1_C.M.L." xfId="220" xr:uid="{CF796DBF-E81D-45F1-A800-37516CB4509E}"/>
    <cellStyle name="%_Bases_Generales_1_C.M.L. 2" xfId="3885" xr:uid="{E57C3903-A3A4-4EAC-9B5D-CA341560F789}"/>
    <cellStyle name="%_Bases_Generales_1_Esc.Macro" xfId="221" xr:uid="{78A60C5A-81FE-4086-A646-BB850DCBF1D3}"/>
    <cellStyle name="%_Bases_Generales_1_Esc.Macro 2" xfId="3886" xr:uid="{1CE8F7A1-F21D-46AA-949E-DC48D85FC931}"/>
    <cellStyle name="%_Bases_Generales_1_G_Loans" xfId="222" xr:uid="{ADA96CB9-59A3-4C31-AEF8-195380429426}"/>
    <cellStyle name="%_Bases_Generales_1_G_Loans 2" xfId="3887" xr:uid="{22E1AB38-7C04-4D86-BC94-882F37A6A332}"/>
    <cellStyle name="%_Bases_Generales_2" xfId="223" xr:uid="{1E2BBD8F-B206-4D40-BBB2-3D26EA667F32}"/>
    <cellStyle name="%_Bases_Generales_2 2" xfId="224" xr:uid="{DFD51FAC-616F-4002-A7DC-502477664E05}"/>
    <cellStyle name="%_Bases_Generales_2 2 2" xfId="3888" xr:uid="{9782B83E-AAD7-463A-8CB0-1136237FE64C}"/>
    <cellStyle name="%_Bases_Generales_2 3" xfId="225" xr:uid="{EAE097A5-7F82-4A34-828F-42CE551B19AB}"/>
    <cellStyle name="%_Bases_Generales_2 3 2" xfId="3889" xr:uid="{795375E3-ED59-44FA-B536-FD6C5D8F63BF}"/>
    <cellStyle name="%_Bases_Generales_2 4" xfId="226" xr:uid="{8FB9661F-2AC7-40D8-8236-41A344754F24}"/>
    <cellStyle name="%_Bases_Generales_2 5" xfId="227" xr:uid="{F7BF5D1A-F7F5-4989-843D-8BCB698AEE1E}"/>
    <cellStyle name="%_Bases_Generales_2_ActiFijos" xfId="228" xr:uid="{1FE7D9CA-6391-434A-B042-F1079B23060A}"/>
    <cellStyle name="%_Bases_Generales_2_ActiFijos 2" xfId="3890" xr:uid="{1116B1B4-23D6-4F45-9B68-A6E88B156015}"/>
    <cellStyle name="%_Bases_Generales_ActiFijos" xfId="229" xr:uid="{DD0F53BF-3EB3-48ED-898C-79870D1EA3CD}"/>
    <cellStyle name="%_Bases_Generales_ActiFijos 2" xfId="3891" xr:uid="{9817BD08-FC6A-4F0B-AD61-0ABA855AE593}"/>
    <cellStyle name="%_Bases_Generales_C.M.E." xfId="230" xr:uid="{4A2ECC49-E4D9-43BB-9885-474A49AED140}"/>
    <cellStyle name="%_Bases_Generales_C.M.E. 2" xfId="3892" xr:uid="{10E9F871-4196-48D0-8C7D-14554F24812B}"/>
    <cellStyle name="%_Bases_Generales_C.M.L." xfId="231" xr:uid="{6C97E59A-C843-4925-8745-6390938F0C2B}"/>
    <cellStyle name="%_Bases_Generales_C.M.L. 2" xfId="3893" xr:uid="{2CB846D1-4F7F-48B8-8E96-AF76C5EAB324}"/>
    <cellStyle name="%_Bases_Generales_Deuda septiembre_marcos" xfId="232" xr:uid="{65E3DAB7-D322-4D86-BECE-2B447A40A290}"/>
    <cellStyle name="%_Bases_Generales_Esc.Macro" xfId="233" xr:uid="{14DF1CBF-73D7-4262-8895-BE7EBB9C2C9E}"/>
    <cellStyle name="%_Bases_Generales_Esc.Macro 2" xfId="3894" xr:uid="{806C7E45-AAC5-4296-BB24-8E394484B929}"/>
    <cellStyle name="%_Bases_Generales_G_Loans" xfId="234" xr:uid="{FC5E073F-AA69-4806-B45B-8979F8174146}"/>
    <cellStyle name="%_Bases_Generales_G_Loans 2" xfId="3895" xr:uid="{BC5065A7-D5F7-4A23-A3B7-D88F92416F53}"/>
    <cellStyle name="%_Bases_Generales_GRUPO4Q-2009 COMPLETO" xfId="3302" xr:uid="{DD647BB3-DD5C-4A68-A902-F0B53E20F6EC}"/>
    <cellStyle name="%_Bases_Generales_Información relacionada" xfId="235" xr:uid="{811CB4AB-BB78-4AAD-B25B-CB2884EE8AC7}"/>
    <cellStyle name="%_C.M.E." xfId="236" xr:uid="{4CE8B21F-A573-4E63-82B3-A61FBE15E779}"/>
    <cellStyle name="%_C.M.E. 2" xfId="3896" xr:uid="{E354669B-AD40-4CE6-A432-EAAD31BD58A5}"/>
    <cellStyle name="%_C.M.E._1" xfId="237" xr:uid="{6DF06935-E259-43E1-BA91-EA38D48EEB7B}"/>
    <cellStyle name="%_C.M.E._1 2" xfId="238" xr:uid="{70D7B381-AD6B-4444-85CA-F4FEA967E1FB}"/>
    <cellStyle name="%_C.M.E._1 2 2" xfId="3897" xr:uid="{1BB2F51A-F411-4814-B48C-971A37D9DA23}"/>
    <cellStyle name="%_C.M.E._1 3" xfId="239" xr:uid="{E2046F3F-E7F1-4C43-BE89-08F8E928086B}"/>
    <cellStyle name="%_C.M.E._1 3 2" xfId="3898" xr:uid="{A24C5B86-116A-4C91-9140-05F82FCDBB6D}"/>
    <cellStyle name="%_C.M.E._1 4" xfId="240" xr:uid="{0A022D81-04E7-47DE-B955-3D8F69506F0A}"/>
    <cellStyle name="%_C.M.E._1 4 2" xfId="3899" xr:uid="{543D45AD-2572-40A8-ACD7-417A3638AC2E}"/>
    <cellStyle name="%_C.M.E._1 5" xfId="241" xr:uid="{B09B2BFB-3291-4391-AC86-05F8EB61C157}"/>
    <cellStyle name="%_C.M.E._1 5 2" xfId="3900" xr:uid="{6615612B-7A5F-4316-BC52-BE73C0F7BC15}"/>
    <cellStyle name="%_C.M.E._1 6" xfId="242" xr:uid="{550220DA-B91C-4A4E-9ACE-BFF0395D7AE7}"/>
    <cellStyle name="%_C.M.E._1 6 2" xfId="3901" xr:uid="{1DEA45E7-D4D8-4D30-9393-DBE11DD85550}"/>
    <cellStyle name="%_C.M.E._1 7" xfId="243" xr:uid="{BFB664A2-AA1F-4504-9C3D-498C7B0CB348}"/>
    <cellStyle name="%_C.M.E._1 8" xfId="244" xr:uid="{ECFD3D97-CE9A-405F-9B00-054790AAF72A}"/>
    <cellStyle name="%_C.M.E._1_ActiFijos" xfId="245" xr:uid="{7C808F42-F7E0-4BF1-8050-393CE96852EC}"/>
    <cellStyle name="%_C.M.E._1_ActiFijos 2" xfId="3902" xr:uid="{8CB41AED-A025-43A3-8A29-DF341462441E}"/>
    <cellStyle name="%_C.M.L." xfId="246" xr:uid="{35100BA9-0030-4835-A08E-6850AD0E1715}"/>
    <cellStyle name="%_C.M.L. 2" xfId="247" xr:uid="{8ADBC6C4-847F-4078-B439-7DB01BEBF1C0}"/>
    <cellStyle name="%_C.M.L. 2 2" xfId="3903" xr:uid="{DD0B81B4-1703-4FE7-8503-F47CC5CC94D9}"/>
    <cellStyle name="%_C.M.L. 3" xfId="248" xr:uid="{A4E94F97-7802-421B-B04E-EC9A2CF73717}"/>
    <cellStyle name="%_C.M.L. 3 2" xfId="3904" xr:uid="{75C63739-FDD9-443B-AF44-EFC160E15EF8}"/>
    <cellStyle name="%_C.M.L. 4" xfId="249" xr:uid="{F875B4C2-19CB-4A8A-956E-E2188580CB90}"/>
    <cellStyle name="%_C.M.L. 4 2" xfId="3905" xr:uid="{0BF961A7-386E-43BB-94FD-74C578126C1A}"/>
    <cellStyle name="%_C.M.L. 5" xfId="250" xr:uid="{78A828FB-C0C5-4E90-B524-21518B37C8E7}"/>
    <cellStyle name="%_C.M.L. 5 2" xfId="3906" xr:uid="{9FA319D2-7E89-474B-8CAF-2A8477EAB9EA}"/>
    <cellStyle name="%_C.M.L. 6" xfId="251" xr:uid="{4D017C25-B2C8-4D13-888D-41CBE04EB87B}"/>
    <cellStyle name="%_C.M.L. 6 2" xfId="3907" xr:uid="{85A5CE36-1F6C-4FB0-BFDC-FBCD33507C7C}"/>
    <cellStyle name="%_C.M.L. 7" xfId="252" xr:uid="{8AB0A0C5-6500-4124-839E-01B23D6194D9}"/>
    <cellStyle name="%_C.M.L. 8" xfId="253" xr:uid="{A173BC48-5F7E-49AD-8800-94D02DF2BB4F}"/>
    <cellStyle name="%_C.M.L._1" xfId="254" xr:uid="{CBE5383E-ED7B-4635-B075-9D844462FD5E}"/>
    <cellStyle name="%_C.M.L._1 2" xfId="255" xr:uid="{9A4F2DA7-0EA6-4AB4-B4D7-C98CCCD55F1E}"/>
    <cellStyle name="%_C.M.L._1 2 2" xfId="3908" xr:uid="{D41E9CCD-1E73-4CFF-93A5-6EE773925735}"/>
    <cellStyle name="%_C.M.L._1 3" xfId="256" xr:uid="{3A8B7325-1FC4-4697-8FE9-1944BDA18734}"/>
    <cellStyle name="%_C.M.L._1 3 2" xfId="3909" xr:uid="{FCD301AF-FEBF-4A1C-9F4F-F53FCEB79A6C}"/>
    <cellStyle name="%_C.M.L._1 4" xfId="257" xr:uid="{2858362F-A271-488F-A3B1-E43DFC5D3646}"/>
    <cellStyle name="%_C.M.L._1 4 2" xfId="3910" xr:uid="{68656ECE-8659-44F3-B061-9DEE3DE19C9F}"/>
    <cellStyle name="%_C.M.L._1 5" xfId="258" xr:uid="{7006DB32-DDF6-4E98-B465-63C724E100B9}"/>
    <cellStyle name="%_C.M.L._1 5 2" xfId="3911" xr:uid="{A41D4E72-6B99-482E-AF3B-D59B7D064C31}"/>
    <cellStyle name="%_C.M.L._1 6" xfId="259" xr:uid="{9781CAC3-9287-477E-9EA4-C7D69F0771A9}"/>
    <cellStyle name="%_C.M.L._1 6 2" xfId="3912" xr:uid="{C4E80918-5A30-4AAC-9D05-F5E8D4B5D932}"/>
    <cellStyle name="%_C.M.L._1 7" xfId="260" xr:uid="{14C96B1A-3433-4892-873E-1910CDEB9330}"/>
    <cellStyle name="%_C.M.L._1 8" xfId="261" xr:uid="{E24FC18F-2A98-461F-AC94-F3A1622B9266}"/>
    <cellStyle name="%_C.M.L._1_ActiFijos" xfId="262" xr:uid="{19711034-F9F3-4687-9CEA-B3632DC194F7}"/>
    <cellStyle name="%_C.M.L._1_ActiFijos 2" xfId="3913" xr:uid="{D6C2D6C2-4724-4D7F-BECC-D6F48417AB0A}"/>
    <cellStyle name="%_C.M.L._1_C.M.E." xfId="263" xr:uid="{E309369C-7F36-45EC-9A3D-CC0924C10ED4}"/>
    <cellStyle name="%_C.M.L._1_C.M.E. 2" xfId="3914" xr:uid="{0D3229E2-4670-4ADC-AB01-D47E6D5ECF03}"/>
    <cellStyle name="%_C.M.L._1_C.M.L." xfId="264" xr:uid="{0D4B7E03-13CD-4794-9481-2AD3C9ED445F}"/>
    <cellStyle name="%_C.M.L._1_C.M.L. 2" xfId="3915" xr:uid="{2FCCF1CA-CE33-4DDB-BF8A-1EE1E80EB14F}"/>
    <cellStyle name="%_C.M.L._1_Esc.Macro" xfId="265" xr:uid="{DEA8D638-F293-45D7-A963-A19A14AA83E0}"/>
    <cellStyle name="%_C.M.L._1_Esc.Macro 2" xfId="3916" xr:uid="{2E26B620-3082-4620-9557-79ED157803BF}"/>
    <cellStyle name="%_C.M.L._1_G_Loans" xfId="266" xr:uid="{C22B282E-B317-4949-ABF8-72CFECCF9CF5}"/>
    <cellStyle name="%_C.M.L._1_G_Loans 2" xfId="3917" xr:uid="{C072C4B0-FA53-4544-9857-D46327AB4749}"/>
    <cellStyle name="%_C.M.L._2" xfId="267" xr:uid="{2AB9BF35-3070-4EDB-AC27-3185128D6231}"/>
    <cellStyle name="%_C.M.L._2 2" xfId="268" xr:uid="{76686121-7B00-41E9-94E3-E3DDA9400B88}"/>
    <cellStyle name="%_C.M.L._2 2 2" xfId="3918" xr:uid="{F45A7EA1-4E8D-471F-AABC-E658401A4568}"/>
    <cellStyle name="%_C.M.L._2 3" xfId="269" xr:uid="{5CF2D6A8-0491-43F0-80F1-6FF2490940CE}"/>
    <cellStyle name="%_C.M.L._2 3 2" xfId="3919" xr:uid="{83E9AF97-CD98-4455-BD11-A8DB1CB2FBA3}"/>
    <cellStyle name="%_C.M.L._2 4" xfId="270" xr:uid="{5A2F6365-8178-40C7-B859-8AA52C7038FD}"/>
    <cellStyle name="%_C.M.L._2 4 2" xfId="3920" xr:uid="{C1F8C063-CE5B-4444-8FBC-B1161F8BF9D5}"/>
    <cellStyle name="%_C.M.L._2 5" xfId="271" xr:uid="{9DF18CAE-2EBD-4B02-A23B-F64883A8F1AC}"/>
    <cellStyle name="%_C.M.L._2 5 2" xfId="3921" xr:uid="{8662419A-9DFB-4B2A-9F34-78E9A3802D43}"/>
    <cellStyle name="%_C.M.L._2 6" xfId="272" xr:uid="{1F5D2C87-69D4-46A0-BD8C-DDB6C85E32C5}"/>
    <cellStyle name="%_C.M.L._2 6 2" xfId="3922" xr:uid="{3DFEB5C0-FE16-4199-854B-C3531C55FFCC}"/>
    <cellStyle name="%_C.M.L._2 7" xfId="273" xr:uid="{A2BABCD0-60FB-40B5-9921-317FE16BAD07}"/>
    <cellStyle name="%_C.M.L._2 8" xfId="274" xr:uid="{DAF17A92-26A7-4F29-B440-10CADC8E665C}"/>
    <cellStyle name="%_C.M.L._2_ActiFijos" xfId="275" xr:uid="{8E4CF59B-4100-4D6A-8D62-07A65EED7207}"/>
    <cellStyle name="%_C.M.L._2_ActiFijos 2" xfId="3923" xr:uid="{6B7FB830-F454-43ED-9D22-A72B4415FFE5}"/>
    <cellStyle name="%_C.M.L._2_C.M.E." xfId="276" xr:uid="{4FF8329E-F161-43BB-B8C7-3A3C614586AE}"/>
    <cellStyle name="%_C.M.L._2_C.M.E. 2" xfId="3924" xr:uid="{7B461BD3-31F6-4F24-86D2-B9451B15B90C}"/>
    <cellStyle name="%_C.M.L._2_C.M.L." xfId="277" xr:uid="{0CB7522C-CA00-448C-85C1-8C0D1DC4F9FD}"/>
    <cellStyle name="%_C.M.L._2_C.M.L. 2" xfId="3925" xr:uid="{E45B9956-5DDB-4688-8001-4DBAB3E87E26}"/>
    <cellStyle name="%_C.M.L._2_Esc.Macro" xfId="278" xr:uid="{D3E4DD27-3A60-45A9-BA75-ED9D98C8F93B}"/>
    <cellStyle name="%_C.M.L._2_Esc.Macro 2" xfId="3926" xr:uid="{71031137-9DFD-4130-A904-F562309400A3}"/>
    <cellStyle name="%_C.M.L._ActiFijos" xfId="279" xr:uid="{78D46138-F46E-422C-852B-28A849B870CA}"/>
    <cellStyle name="%_C.M.L._ActiFijos 2" xfId="3927" xr:uid="{33E5ED23-FB5E-462F-99CE-AD6965FBDE8B}"/>
    <cellStyle name="%_C.M.L._C.M.E." xfId="280" xr:uid="{0A9DBB92-2594-468A-A2EC-44A9EA33EFF2}"/>
    <cellStyle name="%_C.M.L._C.M.E. 2" xfId="3928" xr:uid="{B5A52CAE-64C8-4662-BBCD-8D3688BC429D}"/>
    <cellStyle name="%_C.M.L._C.M.L." xfId="281" xr:uid="{5D5F6BC1-2A74-46A2-913A-FF71849956BD}"/>
    <cellStyle name="%_C.M.L._C.M.L. 2" xfId="3929" xr:uid="{5D17F6EA-E924-424B-953F-C38A40BB3E89}"/>
    <cellStyle name="%_C.M.L._Deuda septiembre_marcos" xfId="282" xr:uid="{21054431-9F7D-413F-B0ED-6153C8A35F89}"/>
    <cellStyle name="%_C.M.L._Esc.Macro" xfId="283" xr:uid="{74FBEE8F-B31D-436D-A498-C67AE0ED56DB}"/>
    <cellStyle name="%_C.M.L._Esc.Macro 2" xfId="3930" xr:uid="{3725686E-5AEE-4B23-BF1F-97265FFC98D7}"/>
    <cellStyle name="%_C.M.L._G_Loans" xfId="284" xr:uid="{4D689ACD-045A-4DCF-A1D3-E2471A029E49}"/>
    <cellStyle name="%_C.M.L._G_Loans 2" xfId="3931" xr:uid="{FEF8FE87-5785-40BA-BF02-A517A34DE845}"/>
    <cellStyle name="%_C.M.L._GRUPO4Q-2009 COMPLETO" xfId="3303" xr:uid="{0BE3C61E-AB4C-4817-9E40-1CD5165859A6}"/>
    <cellStyle name="%_C.M.L._Información relacionada" xfId="285" xr:uid="{3A27F92C-0A62-4C5E-8303-02D5FA248A25}"/>
    <cellStyle name="%_Caja2007" xfId="286" xr:uid="{17EC61BE-EAE6-43C2-8D49-699C78D9E722}"/>
    <cellStyle name="%_Caja2007 2" xfId="287" xr:uid="{72E7971C-CD91-4315-8183-77C350E3D555}"/>
    <cellStyle name="%_Caja2007 2 2" xfId="3932" xr:uid="{0D60E995-7A87-41CF-B2B1-0491327C0147}"/>
    <cellStyle name="%_Caja2007 3" xfId="288" xr:uid="{2AA2492E-625A-4B80-BD09-2D7A45752FC7}"/>
    <cellStyle name="%_Caja2007 3 2" xfId="3933" xr:uid="{2B1DF21A-FB42-4822-9FC8-38EB9D385760}"/>
    <cellStyle name="%_Caja2007 4" xfId="289" xr:uid="{BB99392F-E400-407F-B286-74D923500532}"/>
    <cellStyle name="%_Caja2007 4 2" xfId="3934" xr:uid="{FBB30D4B-C0D4-4136-A2C7-13C82A61D07D}"/>
    <cellStyle name="%_Caja2007 5" xfId="290" xr:uid="{6C898E87-36F6-4F7A-A25B-E7658CCF6BD8}"/>
    <cellStyle name="%_Caja2007 5 2" xfId="3935" xr:uid="{A01CBD61-84BD-4181-8F70-FC32A5265404}"/>
    <cellStyle name="%_Caja2007 6" xfId="291" xr:uid="{E33AA8B1-2706-4FC7-B254-1365221C8D8B}"/>
    <cellStyle name="%_Caja2007 6 2" xfId="3936" xr:uid="{123465C5-7925-4E13-9C6D-784C8D9EA5B6}"/>
    <cellStyle name="%_Caja2007 7" xfId="292" xr:uid="{0D748081-F188-4B0A-B830-EE4B7BBFE54B}"/>
    <cellStyle name="%_Caja2007 8" xfId="293" xr:uid="{F3437CC4-F02F-45A8-8318-85266E892A65}"/>
    <cellStyle name="%_Caja2007_ActiFijos" xfId="294" xr:uid="{FB12C4EB-7774-4F5A-A866-05B5947DFF46}"/>
    <cellStyle name="%_Caja2007_ActiFijos 2" xfId="3937" xr:uid="{1959A119-A43D-4AD8-B12D-63529D049CFB}"/>
    <cellStyle name="%_Caja2007_C.M.E." xfId="295" xr:uid="{F65FD097-54CD-46AD-9197-337E8EC779D3}"/>
    <cellStyle name="%_Caja2007_C.M.E. 2" xfId="3938" xr:uid="{1BED81AD-A8C5-47B5-80EE-23A805333A5C}"/>
    <cellStyle name="%_Caja2007_C.M.L." xfId="296" xr:uid="{C1295169-2EE1-42F0-AE36-E7ACA5E944DC}"/>
    <cellStyle name="%_Caja2007_C.M.L. 2" xfId="3939" xr:uid="{CAEABBA3-D72D-4F02-A7E5-8F7E74E06A37}"/>
    <cellStyle name="%_Caja2007_Deuda septiembre_marcos" xfId="297" xr:uid="{8192587B-C35F-4B1E-863F-27692321114C}"/>
    <cellStyle name="%_Caja2007_Esc.Macro" xfId="298" xr:uid="{5476A8A4-CC7A-4269-80CC-28EDDC257460}"/>
    <cellStyle name="%_Caja2007_Esc.Macro 2" xfId="3940" xr:uid="{581A9DDF-5529-4E23-A1A1-3C3564FEDE4E}"/>
    <cellStyle name="%_Caja2007_G_Loans" xfId="299" xr:uid="{214C06D4-DA67-4190-8CF0-B93DA530A0E0}"/>
    <cellStyle name="%_Caja2007_G_Loans 2" xfId="3941" xr:uid="{BECBC05B-6F69-4B5B-ABAB-382599C145D6}"/>
    <cellStyle name="%_Caja2007_GRUPO4Q-2009 COMPLETO" xfId="3304" xr:uid="{F72ED02B-57DC-4A95-AA60-9ACCB88BFB6B}"/>
    <cellStyle name="%_Caja2007_Información relacionada" xfId="300" xr:uid="{46039B34-6F83-4459-91D9-5AE67BB8D146}"/>
    <cellStyle name="%_Datos Presentación" xfId="301" xr:uid="{ABE09216-B366-4F43-86DA-547561D2E011}"/>
    <cellStyle name="%_Datos Presentación_GRUPO4Q-2009 COMPLETO" xfId="3305" xr:uid="{E3F973E9-B528-467E-8605-30977A33C49E}"/>
    <cellStyle name="%_Deuda septiembre_marcos" xfId="302" xr:uid="{3DBE124C-333A-4494-83AD-A02D23D1771D}"/>
    <cellStyle name="%_ER08" xfId="303" xr:uid="{9EA17720-DEBA-48CF-89D0-262709B44584}"/>
    <cellStyle name="%_ER08 2" xfId="304" xr:uid="{1379745F-539C-4A86-8EB1-20386E61F4A9}"/>
    <cellStyle name="%_ER08 2 2" xfId="3942" xr:uid="{F4D4AAFD-F20E-4CE0-9431-E1EA9BC5E6D8}"/>
    <cellStyle name="%_ER08 3" xfId="305" xr:uid="{C4ED7989-10DB-4F12-B8FA-09A9E4715FE9}"/>
    <cellStyle name="%_ER08 3 2" xfId="3943" xr:uid="{48F057BC-C3C1-4C9B-9B33-8C7B8A77B3B6}"/>
    <cellStyle name="%_ER08 4" xfId="306" xr:uid="{7BE77F7E-CDEF-4374-882C-97AD51C36A0F}"/>
    <cellStyle name="%_ER08 4 2" xfId="3944" xr:uid="{3516F857-5DB4-4050-B403-5C1602C9BA02}"/>
    <cellStyle name="%_ER08 5" xfId="307" xr:uid="{D6F3A5D7-FF03-438D-827F-1C9B7022A005}"/>
    <cellStyle name="%_ER08 5 2" xfId="3945" xr:uid="{6EB01AF8-996E-41EC-B9A1-6F6767D2BB52}"/>
    <cellStyle name="%_ER08 6" xfId="308" xr:uid="{A36A5D91-8944-4000-9FBE-4B2E9467E810}"/>
    <cellStyle name="%_ER08 6 2" xfId="3946" xr:uid="{E40CD568-CE49-49A9-A72E-8E21B1E12A1D}"/>
    <cellStyle name="%_ER08 7" xfId="309" xr:uid="{A2D5D217-00D5-4C91-A902-66BADADA6953}"/>
    <cellStyle name="%_ER08 8" xfId="310" xr:uid="{50635A08-BCDE-4A23-97FC-0AA3F055A28B}"/>
    <cellStyle name="%_ER08_ActiFijos" xfId="311" xr:uid="{B991D925-6068-4D5F-B0D7-6D614A41BBB9}"/>
    <cellStyle name="%_ER08_ActiFijos 2" xfId="3947" xr:uid="{57F6DD80-2654-4AC5-9A9E-CBD5E628DFC3}"/>
    <cellStyle name="%_ER08_C.M.E." xfId="312" xr:uid="{8FC4DC8C-0F9E-42A3-AEDF-CF22768CF68A}"/>
    <cellStyle name="%_ER08_C.M.E. 2" xfId="3948" xr:uid="{F8B07714-253F-439B-86AB-50AE6B0549E1}"/>
    <cellStyle name="%_ER08_C.M.L." xfId="313" xr:uid="{1300DEE5-7F98-4A15-8883-DAABC019EADD}"/>
    <cellStyle name="%_ER08_C.M.L. 2" xfId="3949" xr:uid="{26BFE4B6-D0F6-48E0-8056-B12B003D9E83}"/>
    <cellStyle name="%_ER08_Esc.Macro" xfId="314" xr:uid="{15A3A161-C171-435E-BA56-8CD5EEDE688A}"/>
    <cellStyle name="%_ER08_Esc.Macro 2" xfId="3950" xr:uid="{D359350E-A33C-42EB-9884-E189053E93E1}"/>
    <cellStyle name="%_ER08_G_Loans" xfId="315" xr:uid="{D3CACCFB-EC6C-4024-9E1F-40853E1BB6FC}"/>
    <cellStyle name="%_ER08_G_Loans 2" xfId="3951" xr:uid="{F5577CAF-3742-44E4-B213-6CD966F10D15}"/>
    <cellStyle name="%_G_Loans" xfId="316" xr:uid="{60348FC8-422C-4CD4-92CF-70440E2C4436}"/>
    <cellStyle name="%_G_Loans 2" xfId="317" xr:uid="{10D43F11-4F36-4064-AC8C-48BD2547998D}"/>
    <cellStyle name="%_G_Loans 2 2" xfId="3952" xr:uid="{CE161321-7E86-4B7B-9BBA-0BF233F4657D}"/>
    <cellStyle name="%_G_Loans 3" xfId="318" xr:uid="{1581C3C1-DC0F-40CA-9463-6ED1DE98AC40}"/>
    <cellStyle name="%_G_Loans 3 2" xfId="3953" xr:uid="{E5FCA398-C9A6-4069-8866-903AD47CE3C7}"/>
    <cellStyle name="%_G_Loans 4" xfId="319" xr:uid="{4DA34E0A-E147-4AE7-BC83-A1EBE5DFF54F}"/>
    <cellStyle name="%_G_Loans 4 2" xfId="3954" xr:uid="{CB9D3642-0C5D-4885-967A-F3DF49DCF550}"/>
    <cellStyle name="%_G_Loans 5" xfId="320" xr:uid="{7B7B3F72-EB8C-4CB1-8E73-614085248867}"/>
    <cellStyle name="%_G_Loans 5 2" xfId="3955" xr:uid="{43D169AE-C2F8-4D97-ACFD-5AE890784905}"/>
    <cellStyle name="%_G_Loans 6" xfId="321" xr:uid="{C1268997-C708-4641-9290-FDA32AEBD8CE}"/>
    <cellStyle name="%_G_Loans 6 2" xfId="3956" xr:uid="{6C75D122-EF8A-4F0D-ABBA-48A4D21FF8B1}"/>
    <cellStyle name="%_G_Loans 7" xfId="322" xr:uid="{7A4A62AE-9768-4117-A0D9-ED32619E3A24}"/>
    <cellStyle name="%_G_Loans 8" xfId="323" xr:uid="{425F2E95-EE3E-4EC2-BF2D-2E7874BA5E7F}"/>
    <cellStyle name="%_G_Loans_ActiFijos" xfId="324" xr:uid="{102F3AC8-B842-489F-978D-1BFC43F80266}"/>
    <cellStyle name="%_G_Loans_ActiFijos 2" xfId="3957" xr:uid="{B929F231-8308-45D7-A5F4-0767AE487219}"/>
    <cellStyle name="%_GRUPO4Q-2009 COMPLETO" xfId="3306" xr:uid="{F17544BD-D033-4FA4-91CB-31517E878000}"/>
    <cellStyle name="%_Indicadores" xfId="325" xr:uid="{C015ECA0-6293-45F1-B90C-282D4BC6935F}"/>
    <cellStyle name="%_Indicadores 2" xfId="326" xr:uid="{2BF47296-3644-4083-AEB4-0A65485D6AD6}"/>
    <cellStyle name="%_Indicadores 2 2" xfId="3958" xr:uid="{C5EB84DA-B235-47E1-8BF9-0A68F4DC4B32}"/>
    <cellStyle name="%_Indicadores 3" xfId="327" xr:uid="{284B0FA2-C5CC-4D52-8BFC-F562B4FBF8DD}"/>
    <cellStyle name="%_Indicadores 3 2" xfId="3959" xr:uid="{AA3F8E64-F8B4-4339-AE38-7F203D4DAB84}"/>
    <cellStyle name="%_Indicadores 4" xfId="328" xr:uid="{3FC6826C-D33F-4041-98A9-36C266BCD0A4}"/>
    <cellStyle name="%_Indicadores 4 2" xfId="3960" xr:uid="{B016CBA9-422C-4211-BFC3-7BC86216ABFB}"/>
    <cellStyle name="%_Indicadores 5" xfId="329" xr:uid="{A74976D3-6004-4ECE-BA93-4B9C32737FA6}"/>
    <cellStyle name="%_Indicadores 5 2" xfId="3961" xr:uid="{88AAC7AA-8B40-497A-83BB-C78AE284CEE0}"/>
    <cellStyle name="%_Indicadores 6" xfId="330" xr:uid="{67F2A33F-6F87-45E3-8957-72AFBEBA40DA}"/>
    <cellStyle name="%_Indicadores 6 2" xfId="3962" xr:uid="{7354EFFE-50A1-4FC8-A911-ECBB9333E7AB}"/>
    <cellStyle name="%_Indicadores 7" xfId="331" xr:uid="{F28119EC-BF13-425E-B106-A7CCA3401F16}"/>
    <cellStyle name="%_Indicadores 8" xfId="332" xr:uid="{94EBCE93-74A2-4335-8A75-31F44630336A}"/>
    <cellStyle name="%_Indicadores_ActiFijos" xfId="333" xr:uid="{B2920710-CAC6-4AD6-BBC1-4F4A1B64ACB1}"/>
    <cellStyle name="%_Indicadores_ActiFijos 2" xfId="3963" xr:uid="{94F5D0D0-DC91-4434-9497-B3280CE51D13}"/>
    <cellStyle name="%_Indicadores_C.M.E." xfId="334" xr:uid="{00BEB413-561B-4C72-8CA8-2693EEA33CBF}"/>
    <cellStyle name="%_Indicadores_C.M.E. 2" xfId="3964" xr:uid="{522B0D10-0B75-4742-B6D0-5EB5967FF4D3}"/>
    <cellStyle name="%_Indicadores_C.M.L." xfId="335" xr:uid="{22866392-662E-4AEB-B420-495746C83CE3}"/>
    <cellStyle name="%_Indicadores_C.M.L. 2" xfId="3965" xr:uid="{C8FCE050-69A3-4DD7-B17F-C60B50CA12F5}"/>
    <cellStyle name="%_Indicadores_Esc.Macro" xfId="336" xr:uid="{67429B77-94FF-462C-963E-AD2B62CE8C10}"/>
    <cellStyle name="%_Indicadores_Esc.Macro 2" xfId="3966" xr:uid="{608CA25E-BBE2-40AF-85AE-64D4021D0EB3}"/>
    <cellStyle name="%_Indicadores_G_Loans" xfId="337" xr:uid="{50667216-20F7-463B-BC51-7E835FAD7663}"/>
    <cellStyle name="%_Indicadores_G_Loans 2" xfId="3967" xr:uid="{2B3AD6B5-A944-496D-B2D0-6795766377C1}"/>
    <cellStyle name="%_Mov Balance" xfId="338" xr:uid="{8730FC6D-B585-4C01-B29C-9553AB766AD2}"/>
    <cellStyle name="%_Mov Balance 2" xfId="339" xr:uid="{724B6453-58DE-4CC7-BC8E-E20AF5E2A5FA}"/>
    <cellStyle name="%_Mov Balance 2 2" xfId="3968" xr:uid="{FB682C4C-C920-4816-B038-8F2B4B82B400}"/>
    <cellStyle name="%_Mov Balance 3" xfId="340" xr:uid="{6954A6DD-B9C6-4086-8D1C-29773DEA1443}"/>
    <cellStyle name="%_Mov Balance 3 2" xfId="3969" xr:uid="{E4443702-A36C-49EA-BB3F-B8C10CFF0253}"/>
    <cellStyle name="%_Mov Balance 4" xfId="341" xr:uid="{FC76006B-EF90-43D5-B3F4-BDE2DEEE20FC}"/>
    <cellStyle name="%_Mov Balance 4 2" xfId="3970" xr:uid="{6811E129-F34B-49F5-BFA9-25F710F43991}"/>
    <cellStyle name="%_Mov Balance 5" xfId="342" xr:uid="{00933AC1-40EB-4B60-97A5-3766B325CC3B}"/>
    <cellStyle name="%_Mov Balance 5 2" xfId="3971" xr:uid="{1174032B-A2BF-4C0D-892F-476FB5E05DDB}"/>
    <cellStyle name="%_Mov Balance 6" xfId="343" xr:uid="{5D131151-0190-427A-8EC8-E9D0D33A192B}"/>
    <cellStyle name="%_Mov Balance 6 2" xfId="3972" xr:uid="{0DC1B6CF-5D59-43B5-B35F-46680D9C88DC}"/>
    <cellStyle name="%_Mov Balance 7" xfId="344" xr:uid="{6EF40403-0D2D-4D68-BDEA-DD246DF9AE72}"/>
    <cellStyle name="%_Mov Balance 8" xfId="345" xr:uid="{EA6C51A0-FF1F-444F-B713-AD116C337690}"/>
    <cellStyle name="%_Mov Balance_ActiFijos" xfId="346" xr:uid="{5F11A71A-566D-450B-BD39-8218B719C077}"/>
    <cellStyle name="%_Mov Balance_ActiFijos 2" xfId="3973" xr:uid="{D5680F41-C86B-407E-93B1-8FE1ED5CDE7A}"/>
    <cellStyle name="%_Mov Balance_C.M.E." xfId="347" xr:uid="{0F3BE2FB-0382-4C71-AFFA-C240ED7DF60E}"/>
    <cellStyle name="%_Mov Balance_C.M.E. 2" xfId="3974" xr:uid="{2E84F2A2-6D06-44B5-8998-374F2EED572B}"/>
    <cellStyle name="%_Mov Balance_C.M.L." xfId="348" xr:uid="{98D8E70E-6F37-4447-92D7-F0A41E95E991}"/>
    <cellStyle name="%_Mov Balance_C.M.L. 2" xfId="3975" xr:uid="{0692D1D1-463E-4C21-8F1F-6275B212F354}"/>
    <cellStyle name="%_Mov Balance_Deuda septiembre_marcos" xfId="349" xr:uid="{122C6B0D-35FF-4BC7-BB74-6E0CDC32F4CB}"/>
    <cellStyle name="%_Mov Balance_Esc.Macro" xfId="350" xr:uid="{81EC1CE2-6280-41D1-9B00-37A6D7661202}"/>
    <cellStyle name="%_Mov Balance_Esc.Macro 2" xfId="3976" xr:uid="{0DF0A7D8-9830-4447-B33B-15524308ED10}"/>
    <cellStyle name="%_Mov Balance_G_Loans" xfId="351" xr:uid="{A303B4CD-88C5-4006-82BA-70AD3B32CB51}"/>
    <cellStyle name="%_Mov Balance_G_Loans 2" xfId="3977" xr:uid="{8A6FF2E1-6571-4292-916E-0FCBAAE21980}"/>
    <cellStyle name="%_Mov Balance_GRUPO4Q-2009 COMPLETO" xfId="3307" xr:uid="{75DFCFB4-ED96-43D8-9E8B-3A5067F1BC10}"/>
    <cellStyle name="%_Mov Balance_Información relacionada" xfId="352" xr:uid="{6D2D021F-9C8F-4D5F-936D-0FB8128C5A6C}"/>
    <cellStyle name="%_NOTA BONOS Y O.FRAS 2008" xfId="3308" xr:uid="{C46D8FE8-446E-41E7-850D-989D3DC8CD48}"/>
    <cellStyle name="%_PPT Final" xfId="353" xr:uid="{553BFAEF-BE98-4997-8107-C12202CD3F69}"/>
    <cellStyle name="%_Renta" xfId="354" xr:uid="{F3BAC1AC-5DB7-44B2-B4D6-097855BE827B}"/>
    <cellStyle name="%_Renta 2" xfId="355" xr:uid="{99D95A2F-0001-4A35-85EC-C2FAF5D53FEA}"/>
    <cellStyle name="%_Renta 3" xfId="356" xr:uid="{49501C79-7C34-4BD9-82EA-A5D36588C562}"/>
    <cellStyle name="%_Renta_Deuda septiembre_marcos" xfId="357" xr:uid="{37B557A6-A53D-4441-B5E4-6A855AD15B23}"/>
    <cellStyle name="%_Renta_PPT Final" xfId="358" xr:uid="{3F9C3C52-05CD-4175-A2C4-022893E72535}"/>
    <cellStyle name="%_Renta_Vida Media ISA_" xfId="359" xr:uid="{D1B2C92D-0B78-449C-9C96-C13679F42AAA}"/>
    <cellStyle name="%_Tablas presentaciones ISA - March 2008" xfId="360" xr:uid="{BD7F9B2E-6313-46E9-81EA-BDD38433DDD6}"/>
    <cellStyle name="%_Tablas presentaciones ISA - March 2008 2" xfId="3978" xr:uid="{925A53D0-CDDA-4A18-9DA8-9F2AC91024D1}"/>
    <cellStyle name="%_TRANSELCA" xfId="3309" xr:uid="{38B2CE5B-D773-4331-AF3C-01DB91DBDBC8}"/>
    <cellStyle name="%0" xfId="361" xr:uid="{623078A2-B582-46C6-954E-B5AA495803F3}"/>
    <cellStyle name="%0.0" xfId="362" xr:uid="{4AB1541E-D0C4-4F1B-9B76-79F77242F198}"/>
    <cellStyle name="_Modelo Bocas de Ceniza 4" xfId="363" xr:uid="{4254CE00-A333-43BD-BBDE-5C8DFA83F751}"/>
    <cellStyle name="_Modelo Bocas de Ceniza 4 2" xfId="364" xr:uid="{0A2ADA7A-8AB3-463C-B24D-A93ECE59F9B5}"/>
    <cellStyle name="_Modelo Bocas de Ceniza 4 2 2" xfId="365" xr:uid="{5597EEAD-1DE3-4614-B36B-04F5D69560A7}"/>
    <cellStyle name="_Modelo Bocas de Ceniza 4 2 2_PPT Final" xfId="366" xr:uid="{BA4E3BF3-124F-4158-AD5E-E5D644DC1A5D}"/>
    <cellStyle name="_Modelo Bocas de Ceniza 4 2 2_Vida Media ISA_" xfId="367" xr:uid="{8DCD705B-994B-406F-815B-D13BD36EF191}"/>
    <cellStyle name="_Modelo Bocas de Ceniza 4 2 3" xfId="368" xr:uid="{0C663B49-4CDA-4433-9A1D-FE0E27E68DFB}"/>
    <cellStyle name="_Modelo Bocas de Ceniza 4 2 3_PPT Final" xfId="369" xr:uid="{DEB847BA-1DDF-4C19-8463-B1CEB57A1D4C}"/>
    <cellStyle name="_Modelo Bocas de Ceniza 4 2 3_Vida Media ISA_" xfId="370" xr:uid="{29F3F5AA-5951-451E-958B-0A92DBE44F7A}"/>
    <cellStyle name="_Modelo Bocas de Ceniza 4 2 4" xfId="371" xr:uid="{612FD8B8-23A6-4F2C-8DD8-9AACCA1CC5DB}"/>
    <cellStyle name="_Modelo Bocas de Ceniza 4 2 4_PPT Final" xfId="372" xr:uid="{26077A6D-C9BD-4ADA-A141-22A875984201}"/>
    <cellStyle name="_Modelo Bocas de Ceniza 4 2 4_Vida Media ISA_" xfId="373" xr:uid="{99503235-D64B-42EF-AE2A-B109D7827158}"/>
    <cellStyle name="_Modelo Bocas de Ceniza 4 2 5" xfId="374" xr:uid="{FB943F75-A9E2-47E8-82AA-C9377D959C5F}"/>
    <cellStyle name="_Modelo Bocas de Ceniza 4 2 6" xfId="375" xr:uid="{FC3545CC-9F00-4CA6-B84C-4E5BC383379C}"/>
    <cellStyle name="_Modelo Bocas de Ceniza 4 2 7" xfId="376" xr:uid="{D8BCD657-5F08-4AAB-9C0F-C9B487CD5012}"/>
    <cellStyle name="_Modelo Bocas de Ceniza 4 2 8" xfId="377" xr:uid="{116C00BC-BAAC-4DE3-8199-E367F31EE9BC}"/>
    <cellStyle name="_Modelo Bocas de Ceniza 4 2_ActiFijos" xfId="378" xr:uid="{33F80C55-24D7-40C2-81A5-36F9E7CAE30C}"/>
    <cellStyle name="_Modelo Bocas de Ceniza 4 2_ActiFijos_PPT Final" xfId="379" xr:uid="{3B27E569-4871-404C-95E4-365CEB8B555D}"/>
    <cellStyle name="_Modelo Bocas de Ceniza 4 2_ActiFijos_Vida Media ISA_" xfId="380" xr:uid="{C5AE67DD-F678-441B-B3F1-003B0178406C}"/>
    <cellStyle name="_Modelo Bocas de Ceniza 4 2_PPT Final" xfId="381" xr:uid="{D2456EB9-AA10-4662-BC75-3F53D0CC7534}"/>
    <cellStyle name="_Modelo Bocas de Ceniza 4 2_Vida Media ISA_" xfId="382" xr:uid="{7446CD42-F368-431F-AB4A-93EACC754A5B}"/>
    <cellStyle name="_Modelo Bocas de Ceniza 4 3" xfId="383" xr:uid="{86A4DA0D-0C4D-4A8B-BE8A-63B04CD88F3A}"/>
    <cellStyle name="_Modelo Bocas de Ceniza 4 3 2" xfId="384" xr:uid="{840CCD81-F96B-4FD0-8F35-57E400B3C831}"/>
    <cellStyle name="_Modelo Bocas de Ceniza 4 3 2_PPT Final" xfId="385" xr:uid="{B3F059E6-30DF-41C3-AE98-0BC956292EF6}"/>
    <cellStyle name="_Modelo Bocas de Ceniza 4 3 2_Vida Media ISA_" xfId="386" xr:uid="{EF2FE043-1DED-4C84-BBE1-AAB940E97C47}"/>
    <cellStyle name="_Modelo Bocas de Ceniza 4 3 3" xfId="387" xr:uid="{6FF2BFBB-05D3-4B27-931D-F2EE2301D329}"/>
    <cellStyle name="_Modelo Bocas de Ceniza 4 3 3_PPT Final" xfId="388" xr:uid="{C94E530B-5230-4239-91E2-792C8C2846C0}"/>
    <cellStyle name="_Modelo Bocas de Ceniza 4 3 3_Vida Media ISA_" xfId="389" xr:uid="{C76A4B55-229F-465A-AD32-526FED27352D}"/>
    <cellStyle name="_Modelo Bocas de Ceniza 4 3 4" xfId="390" xr:uid="{4408AA75-3863-457E-A9F5-E1FF4FD9BC5A}"/>
    <cellStyle name="_Modelo Bocas de Ceniza 4 3 4_PPT Final" xfId="391" xr:uid="{80112173-8C43-4DDA-9EDA-018BD481D8F8}"/>
    <cellStyle name="_Modelo Bocas de Ceniza 4 3 4_Vida Media ISA_" xfId="392" xr:uid="{C86E4589-A832-4CF0-8883-F7E3F2AD2011}"/>
    <cellStyle name="_Modelo Bocas de Ceniza 4 3 5" xfId="393" xr:uid="{A2FFCB73-BAA2-4C6F-860A-7818244C6718}"/>
    <cellStyle name="_Modelo Bocas de Ceniza 4 3 6" xfId="394" xr:uid="{E5DD05E2-131D-477D-99A4-66CD2DD57644}"/>
    <cellStyle name="_Modelo Bocas de Ceniza 4 3 7" xfId="395" xr:uid="{7B89651D-62F8-45F6-A42B-141113220F1E}"/>
    <cellStyle name="_Modelo Bocas de Ceniza 4 3 8" xfId="396" xr:uid="{428449F8-9EC9-47A6-B117-EF241F894BCA}"/>
    <cellStyle name="_Modelo Bocas de Ceniza 4 3_ActiFijos" xfId="397" xr:uid="{4F58C150-5979-4296-A694-A1608F7D923D}"/>
    <cellStyle name="_Modelo Bocas de Ceniza 4 3_ActiFijos_PPT Final" xfId="398" xr:uid="{FE747DC3-A577-483E-B136-159808892CD4}"/>
    <cellStyle name="_Modelo Bocas de Ceniza 4 3_ActiFijos_Vida Media ISA_" xfId="399" xr:uid="{88B842ED-5131-40F5-A60F-1D6B7ABF218C}"/>
    <cellStyle name="_Modelo Bocas de Ceniza 4 3_PPT Final" xfId="400" xr:uid="{A01038B5-8AD1-4E4C-9293-12A9BE840E9A}"/>
    <cellStyle name="_Modelo Bocas de Ceniza 4 3_Vida Media ISA_" xfId="401" xr:uid="{AA4DB496-D63B-42BB-B252-58BE54027689}"/>
    <cellStyle name="_Modelo Bocas de Ceniza 4 4" xfId="402" xr:uid="{7C7FECE6-60AB-4D47-B243-7AE1C22724B4}"/>
    <cellStyle name="_Modelo Bocas de Ceniza 4 4 2" xfId="403" xr:uid="{50F48B9E-33B9-414A-A753-33B74E5DAAD4}"/>
    <cellStyle name="_Modelo Bocas de Ceniza 4 4 2_PPT Final" xfId="404" xr:uid="{0B64C3C7-3B9B-434D-AC4A-2CC041176CFE}"/>
    <cellStyle name="_Modelo Bocas de Ceniza 4 4 2_Vida Media ISA_" xfId="405" xr:uid="{F4A41DC2-E2C9-4E8A-89D2-99ED752F6FB6}"/>
    <cellStyle name="_Modelo Bocas de Ceniza 4 4 3" xfId="406" xr:uid="{D212BE38-A97F-4187-99D1-948122554698}"/>
    <cellStyle name="_Modelo Bocas de Ceniza 4 4 3_PPT Final" xfId="407" xr:uid="{5A6CF0FF-79C5-4FDA-BD87-2666730D3674}"/>
    <cellStyle name="_Modelo Bocas de Ceniza 4 4 3_Vida Media ISA_" xfId="408" xr:uid="{7F328146-C90E-48AA-9037-7756466E1E28}"/>
    <cellStyle name="_Modelo Bocas de Ceniza 4 4 4" xfId="409" xr:uid="{7457F9BB-0DB7-49B8-8577-F023631F1C01}"/>
    <cellStyle name="_Modelo Bocas de Ceniza 4 4 4_PPT Final" xfId="410" xr:uid="{478681BA-E951-4745-B8D8-3E06138994FF}"/>
    <cellStyle name="_Modelo Bocas de Ceniza 4 4 4_Vida Media ISA_" xfId="411" xr:uid="{5043461E-E4BA-4CC2-B329-EE05D00D42BF}"/>
    <cellStyle name="_Modelo Bocas de Ceniza 4 4 5" xfId="412" xr:uid="{D9F7E2BC-B638-4639-B346-7233E930A5F8}"/>
    <cellStyle name="_Modelo Bocas de Ceniza 4 4 6" xfId="413" xr:uid="{3C7FA83B-D34A-45D4-9689-04DDF525B433}"/>
    <cellStyle name="_Modelo Bocas de Ceniza 4 4 7" xfId="414" xr:uid="{B4867A71-1520-4B23-9596-37AA8BB8D11A}"/>
    <cellStyle name="_Modelo Bocas de Ceniza 4 4 8" xfId="415" xr:uid="{5FC9EF19-2F33-4B84-B378-CA3AF18A24D0}"/>
    <cellStyle name="_Modelo Bocas de Ceniza 4 4_ActiFijos" xfId="416" xr:uid="{D616549A-C019-4A8B-9804-36046D56668B}"/>
    <cellStyle name="_Modelo Bocas de Ceniza 4 4_ActiFijos_PPT Final" xfId="417" xr:uid="{88398B3B-57E7-4A00-BCB7-403B5E13D328}"/>
    <cellStyle name="_Modelo Bocas de Ceniza 4 4_ActiFijos_Vida Media ISA_" xfId="418" xr:uid="{8F8D8E96-3D0C-4A8A-A893-AF039839AF4A}"/>
    <cellStyle name="_Modelo Bocas de Ceniza 4 4_PPT Final" xfId="419" xr:uid="{99217AC0-8646-4AA4-881A-424B621B4D04}"/>
    <cellStyle name="_Modelo Bocas de Ceniza 4 4_Vida Media ISA_" xfId="420" xr:uid="{8E4B20FD-2AD5-404E-86E0-4CEEECC12383}"/>
    <cellStyle name="_Modelo Bocas de Ceniza 4_Balanc" xfId="421" xr:uid="{6C3980B9-E595-45E9-8A44-C8D5F30E3963}"/>
    <cellStyle name="_Modelo Bocas de Ceniza 4_Balanc 2" xfId="422" xr:uid="{D19C29CC-97B9-403C-A5F2-896DC6CD269F}"/>
    <cellStyle name="_Modelo Bocas de Ceniza 4_Balanc 2_PPT Final" xfId="423" xr:uid="{A917639E-2A0C-4A85-AB4B-9D07045E37BB}"/>
    <cellStyle name="_Modelo Bocas de Ceniza 4_Balanc 2_Vida Media ISA_" xfId="424" xr:uid="{B46BBC56-81FF-43B5-ACC0-FC9935A68A29}"/>
    <cellStyle name="_Modelo Bocas de Ceniza 4_Balanc 3" xfId="425" xr:uid="{99529120-F216-4DBA-907F-9712EE4B534C}"/>
    <cellStyle name="_Modelo Bocas de Ceniza 4_Balanc 3_PPT Final" xfId="426" xr:uid="{2E81BA4E-FC0B-4D90-817B-98FF60947243}"/>
    <cellStyle name="_Modelo Bocas de Ceniza 4_Balanc 3_Vida Media ISA_" xfId="427" xr:uid="{E04D4909-FD9B-48BA-ADD1-183B18CB04CD}"/>
    <cellStyle name="_Modelo Bocas de Ceniza 4_Balanc 4" xfId="428" xr:uid="{1639012C-0C72-4D1D-BF1F-0BBB67797709}"/>
    <cellStyle name="_Modelo Bocas de Ceniza 4_Balanc 4_PPT Final" xfId="429" xr:uid="{CF56C19E-D9D2-4234-B276-87F354A95262}"/>
    <cellStyle name="_Modelo Bocas de Ceniza 4_Balanc 4_Vida Media ISA_" xfId="430" xr:uid="{D1DCE62B-95AE-4493-96E5-B53F059A01ED}"/>
    <cellStyle name="_Modelo Bocas de Ceniza 4_Balanc 5" xfId="431" xr:uid="{08AB770A-D804-4573-B82C-D1CDFA32EBE8}"/>
    <cellStyle name="_Modelo Bocas de Ceniza 4_Balanc 6" xfId="432" xr:uid="{02B6C2A2-8E90-4B2B-8CAF-9764C673DBCB}"/>
    <cellStyle name="_Modelo Bocas de Ceniza 4_Balanc 7" xfId="433" xr:uid="{982C9093-DB7F-42D5-BBFD-7FAC983F9EC8}"/>
    <cellStyle name="_Modelo Bocas de Ceniza 4_Balanc 8" xfId="434" xr:uid="{CB409473-F246-4745-8ADA-2CFD7952BA5E}"/>
    <cellStyle name="_Modelo Bocas de Ceniza 4_Balanc_ActiFijos" xfId="435" xr:uid="{4C242019-B27D-488F-9246-5D6749AC56D7}"/>
    <cellStyle name="_Modelo Bocas de Ceniza 4_Balanc_ActiFijos_PPT Final" xfId="436" xr:uid="{A6DEEA97-43D3-439C-9AB7-9EE901E09985}"/>
    <cellStyle name="_Modelo Bocas de Ceniza 4_Balanc_ActiFijos_Vida Media ISA_" xfId="437" xr:uid="{2D29747D-2B70-4738-8D06-5ED3EC0486BE}"/>
    <cellStyle name="_Modelo Bocas de Ceniza 4_Balanc_C.M.E." xfId="438" xr:uid="{3FC1C8EC-AFE0-4313-9491-B3C13D167BDF}"/>
    <cellStyle name="_Modelo Bocas de Ceniza 4_Balanc_C.M.E._PPT Final" xfId="439" xr:uid="{53EE16AC-7665-47B2-86FC-9CAE3701FC42}"/>
    <cellStyle name="_Modelo Bocas de Ceniza 4_Balanc_C.M.E._Vida Media ISA_" xfId="440" xr:uid="{F9305D03-96E4-4214-884E-71986ABE66ED}"/>
    <cellStyle name="_Modelo Bocas de Ceniza 4_Balanc_C.M.L." xfId="441" xr:uid="{65486379-BC3D-45DF-AD19-5EC98C2828CC}"/>
    <cellStyle name="_Modelo Bocas de Ceniza 4_Balanc_C.M.L._PPT Final" xfId="442" xr:uid="{AE4D9B04-BE58-4243-84EF-5832297611E0}"/>
    <cellStyle name="_Modelo Bocas de Ceniza 4_Balanc_C.M.L._Vida Media ISA_" xfId="443" xr:uid="{14575AEB-58FE-4BD7-9D80-A0A12D19CE01}"/>
    <cellStyle name="_Modelo Bocas de Ceniza 4_Balanc_Esc.Macro" xfId="444" xr:uid="{4C6C1095-890B-42F7-94AD-1C46028DB33F}"/>
    <cellStyle name="_Modelo Bocas de Ceniza 4_Balanc_Esc.Macro_PPT Final" xfId="445" xr:uid="{E1CDDB4A-00DC-45B1-A761-811D3F15F3A7}"/>
    <cellStyle name="_Modelo Bocas de Ceniza 4_Balanc_Esc.Macro_Vida Media ISA_" xfId="446" xr:uid="{597A843E-CFFE-4D37-AFB0-93E15737AFD7}"/>
    <cellStyle name="_Modelo Bocas de Ceniza 4_Balanc_PPT Final" xfId="447" xr:uid="{0734CE67-15BA-4658-BDED-494444C531AF}"/>
    <cellStyle name="_Modelo Bocas de Ceniza 4_Balanc_Vida Media ISA_" xfId="448" xr:uid="{D39C798B-2756-4DAB-BB09-FD680657B54A}"/>
    <cellStyle name="_Modelo Bocas de Ceniza 4_Balance" xfId="449" xr:uid="{2FA985E6-3B41-4BB0-8E6B-D14C105C4453}"/>
    <cellStyle name="_Modelo Bocas de Ceniza 4_Balance 2" xfId="450" xr:uid="{688930A6-D5C8-4CBA-BDBD-15628046476E}"/>
    <cellStyle name="_Modelo Bocas de Ceniza 4_Balance 2_PPT Final" xfId="451" xr:uid="{E4736255-73CD-47FF-A8BF-081E4DD6FDA0}"/>
    <cellStyle name="_Modelo Bocas de Ceniza 4_Balance 2_Vida Media ISA_" xfId="452" xr:uid="{856DF561-192A-4BFE-9322-C7F112A6D07F}"/>
    <cellStyle name="_Modelo Bocas de Ceniza 4_Balance 3" xfId="453" xr:uid="{DEDEEFAE-426F-4199-9556-FB0A0C109B55}"/>
    <cellStyle name="_Modelo Bocas de Ceniza 4_Balance 3_PPT Final" xfId="454" xr:uid="{E63BDC63-94E2-44C4-9453-1C739BF7BA9A}"/>
    <cellStyle name="_Modelo Bocas de Ceniza 4_Balance 3_Vida Media ISA_" xfId="455" xr:uid="{7DD9D1E9-E4AE-46F5-A778-988746C4BD2C}"/>
    <cellStyle name="_Modelo Bocas de Ceniza 4_Balance 4" xfId="456" xr:uid="{250479A6-24C4-46C3-A7E2-1DFF7A46E4DB}"/>
    <cellStyle name="_Modelo Bocas de Ceniza 4_Balance 4_PPT Final" xfId="457" xr:uid="{A84807DF-81BB-46C5-93AB-71AF4B746DFB}"/>
    <cellStyle name="_Modelo Bocas de Ceniza 4_Balance 4_Vida Media ISA_" xfId="458" xr:uid="{B0843D1F-E027-45FD-904C-572D637B48F5}"/>
    <cellStyle name="_Modelo Bocas de Ceniza 4_Balance 5" xfId="459" xr:uid="{337E56E8-B5E6-4499-8333-9E7B56E6294C}"/>
    <cellStyle name="_Modelo Bocas de Ceniza 4_Balance 6" xfId="460" xr:uid="{483CF820-38EA-4FA5-B6B6-50EFF9640BD2}"/>
    <cellStyle name="_Modelo Bocas de Ceniza 4_Balance 7" xfId="461" xr:uid="{23E2BD30-23D2-40DE-9E1D-76D4C9C51A0D}"/>
    <cellStyle name="_Modelo Bocas de Ceniza 4_Balance 8" xfId="462" xr:uid="{8FABECB4-8083-4F06-8A6D-2319DBE99B7D}"/>
    <cellStyle name="_Modelo Bocas de Ceniza 4_Balance_ActiFijos" xfId="463" xr:uid="{402DD2D6-B02C-4CBE-8DB7-CEC7C23E8540}"/>
    <cellStyle name="_Modelo Bocas de Ceniza 4_Balance_ActiFijos_PPT Final" xfId="464" xr:uid="{55318859-5770-4934-A849-2B95EB7CBB22}"/>
    <cellStyle name="_Modelo Bocas de Ceniza 4_Balance_ActiFijos_Vida Media ISA_" xfId="465" xr:uid="{051F062D-0D34-4FAE-88CA-85B8DBF8177A}"/>
    <cellStyle name="_Modelo Bocas de Ceniza 4_Balance_C.M.E." xfId="466" xr:uid="{227492BA-8BF7-40F8-9F43-28DA6674FFFD}"/>
    <cellStyle name="_Modelo Bocas de Ceniza 4_Balance_C.M.E._PPT Final" xfId="467" xr:uid="{DE0D93A4-DE2A-4389-B7CA-7CCEE1ECE92C}"/>
    <cellStyle name="_Modelo Bocas de Ceniza 4_Balance_C.M.E._Vida Media ISA_" xfId="468" xr:uid="{DCF8580E-F291-493D-8F39-22391E926891}"/>
    <cellStyle name="_Modelo Bocas de Ceniza 4_Balance_C.M.L." xfId="469" xr:uid="{1156DE25-F819-4A57-A7AF-CDB71CDD46BD}"/>
    <cellStyle name="_Modelo Bocas de Ceniza 4_Balance_C.M.L._PPT Final" xfId="470" xr:uid="{685C7FEA-74A0-41D8-B796-ECCDDFD7A7FE}"/>
    <cellStyle name="_Modelo Bocas de Ceniza 4_Balance_C.M.L._Vida Media ISA_" xfId="471" xr:uid="{C2D92BAF-DF73-48FA-9A05-364FF4D8E104}"/>
    <cellStyle name="_Modelo Bocas de Ceniza 4_Balance_EF-2008-07-consolidado" xfId="472" xr:uid="{C14BC39A-4928-46F9-B627-C547463D79C6}"/>
    <cellStyle name="_Modelo Bocas de Ceniza 4_Balance_EF-2008-08-consolidado" xfId="473" xr:uid="{E1CB163E-CE75-4293-8C5A-EF0A47FEDF05}"/>
    <cellStyle name="_Modelo Bocas de Ceniza 4_Balance_EF-2008-09-consolidado" xfId="474" xr:uid="{E28CAB7E-82E7-4C7D-B838-D618F4F7858A}"/>
    <cellStyle name="_Modelo Bocas de Ceniza 4_Balance_EF-2008-10-consolidado" xfId="475" xr:uid="{B1531F60-F982-4AB0-8E6B-013B3BD40E75}"/>
    <cellStyle name="_Modelo Bocas de Ceniza 4_Balance_EF-2008-11-consolidado" xfId="476" xr:uid="{AB68B537-E708-4176-BAB9-21AC96F6D79F}"/>
    <cellStyle name="_Modelo Bocas de Ceniza 4_Balance_EF-2008-12-consolidado" xfId="477" xr:uid="{564A820C-7550-4207-80A6-0B37F1323117}"/>
    <cellStyle name="_Modelo Bocas de Ceniza 4_Balance_EF-2009-03-consolidado" xfId="478" xr:uid="{64F27291-4450-49C5-BD03-A3FE0881FF8C}"/>
    <cellStyle name="_Modelo Bocas de Ceniza 4_Balance_Esc.Macro" xfId="479" xr:uid="{F131CB49-1410-43D1-AB95-CE6695A1CBC5}"/>
    <cellStyle name="_Modelo Bocas de Ceniza 4_Balance_Esc.Macro_PPT Final" xfId="480" xr:uid="{2C936505-263F-4C81-AA78-975129B58D1C}"/>
    <cellStyle name="_Modelo Bocas de Ceniza 4_Balance_Esc.Macro_Vida Media ISA_" xfId="481" xr:uid="{E69A9692-80EB-4B4D-9313-8BB3349D2393}"/>
    <cellStyle name="_Modelo Bocas de Ceniza 4_Balance_G_Loans" xfId="482" xr:uid="{32525A6C-83C5-4388-BD44-DD79F51AF6F9}"/>
    <cellStyle name="_Modelo Bocas de Ceniza 4_Balance_G_Loans_PPT Final" xfId="483" xr:uid="{AE46FA43-D92B-450F-9E5F-9C4FBC866277}"/>
    <cellStyle name="_Modelo Bocas de Ceniza 4_Balance_G_Loans_Vida Media ISA_" xfId="484" xr:uid="{963DD0B9-7988-4728-983B-A6F4DD325FE7}"/>
    <cellStyle name="_Modelo Bocas de Ceniza 4_Balance_Libro1" xfId="485" xr:uid="{F2B9A34C-C026-42FA-A771-00AB7894080A}"/>
    <cellStyle name="_Modelo Bocas de Ceniza 4_Balance_PPT Final" xfId="486" xr:uid="{FC6C5E7B-59E3-483A-A36E-9C1DB43C635B}"/>
    <cellStyle name="_Modelo Bocas de Ceniza 4_Balance_Vida Media ISA_" xfId="487" xr:uid="{892CAAE4-E792-4CA4-AC20-FA83ECBA25B9}"/>
    <cellStyle name="_Modelo Bocas de Ceniza 4_Bases_Generales" xfId="488" xr:uid="{3DBA090D-2127-4E8D-A2DF-F6925420C84F}"/>
    <cellStyle name="_Modelo Bocas de Ceniza 4_Bases_Generales 2" xfId="489" xr:uid="{7317DD56-E9F0-4186-A3B6-75ECA1FAA3B7}"/>
    <cellStyle name="_Modelo Bocas de Ceniza 4_Bases_Generales 2_PPT Final" xfId="490" xr:uid="{C1505D09-B118-4EDD-9209-678635808D7B}"/>
    <cellStyle name="_Modelo Bocas de Ceniza 4_Bases_Generales 2_Vida Media ISA_" xfId="491" xr:uid="{C678F21D-A1B1-4F33-8EC1-84B8E8BFC899}"/>
    <cellStyle name="_Modelo Bocas de Ceniza 4_Bases_Generales 3" xfId="492" xr:uid="{14498238-B1ED-42F3-8829-8F38AB431818}"/>
    <cellStyle name="_Modelo Bocas de Ceniza 4_Bases_Generales 3_PPT Final" xfId="493" xr:uid="{5B208B55-D945-4053-A1FC-84BB8104C04A}"/>
    <cellStyle name="_Modelo Bocas de Ceniza 4_Bases_Generales 3_Vida Media ISA_" xfId="494" xr:uid="{22C629C6-B636-4081-9E53-F4AB815AAF1C}"/>
    <cellStyle name="_Modelo Bocas de Ceniza 4_Bases_Generales 4" xfId="495" xr:uid="{07992419-ACD5-481B-8BBB-B9FA43CE51DF}"/>
    <cellStyle name="_Modelo Bocas de Ceniza 4_Bases_Generales 4_PPT Final" xfId="496" xr:uid="{33A5ED29-E7CE-4D8F-9288-A5DD45492016}"/>
    <cellStyle name="_Modelo Bocas de Ceniza 4_Bases_Generales 4_Vida Media ISA_" xfId="497" xr:uid="{A894CE19-E65A-4F87-94A1-2D2AEC98A21A}"/>
    <cellStyle name="_Modelo Bocas de Ceniza 4_Bases_Generales 5" xfId="498" xr:uid="{16FD3F3D-EE0B-4137-9112-DF4EA7945311}"/>
    <cellStyle name="_Modelo Bocas de Ceniza 4_Bases_Generales 6" xfId="499" xr:uid="{D40B5697-863D-4353-8362-40F421B4C1B7}"/>
    <cellStyle name="_Modelo Bocas de Ceniza 4_Bases_Generales 7" xfId="500" xr:uid="{150FCB56-6DB4-42A4-A90F-83678CD322A0}"/>
    <cellStyle name="_Modelo Bocas de Ceniza 4_Bases_Generales 8" xfId="501" xr:uid="{84BED1BC-7553-4AA3-A918-6FA23F99C2B3}"/>
    <cellStyle name="_Modelo Bocas de Ceniza 4_Bases_Generales_1" xfId="502" xr:uid="{92464210-1C8E-4118-B979-FDA7120C2518}"/>
    <cellStyle name="_Modelo Bocas de Ceniza 4_Bases_Generales_1 2" xfId="503" xr:uid="{99C98A2B-2B9A-40C2-9190-187876BD2952}"/>
    <cellStyle name="_Modelo Bocas de Ceniza 4_Bases_Generales_1 2_PPT Final" xfId="504" xr:uid="{4E994363-4A8A-4BEE-8D6F-443F1BF42AC5}"/>
    <cellStyle name="_Modelo Bocas de Ceniza 4_Bases_Generales_1 2_Vida Media ISA_" xfId="505" xr:uid="{1D93083F-428F-42CB-B5E4-F98C3C5E75F6}"/>
    <cellStyle name="_Modelo Bocas de Ceniza 4_Bases_Generales_1 3" xfId="506" xr:uid="{3179716E-D9B0-4AF0-B75D-C5904050EC12}"/>
    <cellStyle name="_Modelo Bocas de Ceniza 4_Bases_Generales_1 3_PPT Final" xfId="507" xr:uid="{53AD803C-5A73-4091-955E-532C4DCC4071}"/>
    <cellStyle name="_Modelo Bocas de Ceniza 4_Bases_Generales_1 3_Vida Media ISA_" xfId="508" xr:uid="{89CF8CA5-8575-4365-ABE6-6277A1AB50D1}"/>
    <cellStyle name="_Modelo Bocas de Ceniza 4_Bases_Generales_1 4" xfId="509" xr:uid="{771F0F1D-9612-446D-863E-701B541ECCEB}"/>
    <cellStyle name="_Modelo Bocas de Ceniza 4_Bases_Generales_1 4_PPT Final" xfId="510" xr:uid="{D3B12714-7240-4299-82A3-B6FB2C95123A}"/>
    <cellStyle name="_Modelo Bocas de Ceniza 4_Bases_Generales_1 4_Vida Media ISA_" xfId="511" xr:uid="{E14A77DA-C4BC-469D-A434-85109228140F}"/>
    <cellStyle name="_Modelo Bocas de Ceniza 4_Bases_Generales_1 5" xfId="512" xr:uid="{B27B625B-B8ED-4C1E-AE5B-749376537173}"/>
    <cellStyle name="_Modelo Bocas de Ceniza 4_Bases_Generales_1 6" xfId="513" xr:uid="{4176E415-2E9C-4C4C-893A-866A461FC61E}"/>
    <cellStyle name="_Modelo Bocas de Ceniza 4_Bases_Generales_1 7" xfId="514" xr:uid="{7D65B2DE-7967-40AE-BE9A-92AE74649E6D}"/>
    <cellStyle name="_Modelo Bocas de Ceniza 4_Bases_Generales_1 8" xfId="515" xr:uid="{AB0D82F9-D156-4FC3-862E-7AB66B64459F}"/>
    <cellStyle name="_Modelo Bocas de Ceniza 4_Bases_Generales_1_ActiFijos" xfId="516" xr:uid="{1C9053E9-C4B5-4453-BB35-6F70E4746BEF}"/>
    <cellStyle name="_Modelo Bocas de Ceniza 4_Bases_Generales_1_ActiFijos_PPT Final" xfId="517" xr:uid="{897E0AB8-A362-4AF8-AB55-2684E584B0A9}"/>
    <cellStyle name="_Modelo Bocas de Ceniza 4_Bases_Generales_1_ActiFijos_Vida Media ISA_" xfId="518" xr:uid="{F9CF32C6-DAFC-4A26-8888-F0DDD020E98F}"/>
    <cellStyle name="_Modelo Bocas de Ceniza 4_Bases_Generales_1_C.M.E." xfId="519" xr:uid="{CC31E3C3-325A-4C1C-B934-5C73FFB6A8DF}"/>
    <cellStyle name="_Modelo Bocas de Ceniza 4_Bases_Generales_1_C.M.E._PPT Final" xfId="520" xr:uid="{0C14EE01-027D-4185-BCA9-8F60E3EFDFB7}"/>
    <cellStyle name="_Modelo Bocas de Ceniza 4_Bases_Generales_1_C.M.E._Vida Media ISA_" xfId="521" xr:uid="{453DAE7C-328B-47B6-94AA-5053F9E8365E}"/>
    <cellStyle name="_Modelo Bocas de Ceniza 4_Bases_Generales_1_C.M.L." xfId="522" xr:uid="{AB72EA59-88A6-4245-B0C0-87ABB3F90B7E}"/>
    <cellStyle name="_Modelo Bocas de Ceniza 4_Bases_Generales_1_C.M.L._PPT Final" xfId="523" xr:uid="{39AB2D40-309A-46D8-9B67-04898755CF69}"/>
    <cellStyle name="_Modelo Bocas de Ceniza 4_Bases_Generales_1_C.M.L._Vida Media ISA_" xfId="524" xr:uid="{9C5C1281-E100-4342-8BE0-42BD9BC1806F}"/>
    <cellStyle name="_Modelo Bocas de Ceniza 4_Bases_Generales_1_Esc.Macro" xfId="525" xr:uid="{03A5352F-095B-4A43-9173-3657411E46F9}"/>
    <cellStyle name="_Modelo Bocas de Ceniza 4_Bases_Generales_1_Esc.Macro_PPT Final" xfId="526" xr:uid="{FD6B1AEA-CE03-46F2-AB37-1864A81481AA}"/>
    <cellStyle name="_Modelo Bocas de Ceniza 4_Bases_Generales_1_Esc.Macro_Vida Media ISA_" xfId="527" xr:uid="{A1A8282D-2BC5-4F5F-8DE6-2BEAB50091D9}"/>
    <cellStyle name="_Modelo Bocas de Ceniza 4_Bases_Generales_1_G_Loans" xfId="528" xr:uid="{94EA04A9-81DB-4D3B-911B-46E656869827}"/>
    <cellStyle name="_Modelo Bocas de Ceniza 4_Bases_Generales_1_G_Loans_PPT Final" xfId="529" xr:uid="{7697C1B2-A809-45AC-BD17-63353567479C}"/>
    <cellStyle name="_Modelo Bocas de Ceniza 4_Bases_Generales_1_G_Loans_Vida Media ISA_" xfId="530" xr:uid="{E0CA7FA6-76AF-48D0-AA2F-1B964E4A3FFA}"/>
    <cellStyle name="_Modelo Bocas de Ceniza 4_Bases_Generales_1_PPT Final" xfId="531" xr:uid="{B15C7381-5C26-4DB3-A04E-CB2DC7369CF1}"/>
    <cellStyle name="_Modelo Bocas de Ceniza 4_Bases_Generales_1_Vida Media ISA_" xfId="532" xr:uid="{67587DC5-A4DF-44C5-A89C-C2FCC977755F}"/>
    <cellStyle name="_Modelo Bocas de Ceniza 4_Bases_Generales_2" xfId="533" xr:uid="{D7D5FF90-246A-4826-9DF5-97F94307C4C9}"/>
    <cellStyle name="_Modelo Bocas de Ceniza 4_Bases_Generales_2 2" xfId="534" xr:uid="{CDE57A64-B587-4D2C-8B92-4873DF263F3C}"/>
    <cellStyle name="_Modelo Bocas de Ceniza 4_Bases_Generales_2 3" xfId="535" xr:uid="{307DBC11-CFF1-43B0-B024-9BA7C29EAAE2}"/>
    <cellStyle name="_Modelo Bocas de Ceniza 4_Bases_Generales_2 4" xfId="536" xr:uid="{2E6C3669-2EDA-4A00-AECD-84675AC5D0C2}"/>
    <cellStyle name="_Modelo Bocas de Ceniza 4_Bases_Generales_2 5" xfId="537" xr:uid="{4D031F06-B59B-461F-96EF-E0CAA5A702DD}"/>
    <cellStyle name="_Modelo Bocas de Ceniza 4_Bases_Generales_2_ActiFijos" xfId="538" xr:uid="{A1F1EB51-B0AE-426B-A51F-97B98373EED4}"/>
    <cellStyle name="_Modelo Bocas de Ceniza 4_Bases_Generales_2_ActiFijos_PPT Final" xfId="539" xr:uid="{830834CF-A44F-4FF7-86E3-0399380D2C6E}"/>
    <cellStyle name="_Modelo Bocas de Ceniza 4_Bases_Generales_2_ActiFijos_Vida Media ISA_" xfId="540" xr:uid="{890B050F-B200-40D3-A618-104EEEAC8E43}"/>
    <cellStyle name="_Modelo Bocas de Ceniza 4_Bases_Generales_2_PPT Final" xfId="541" xr:uid="{C9975D3D-0169-4437-849B-9C14E17DE584}"/>
    <cellStyle name="_Modelo Bocas de Ceniza 4_Bases_Generales_2_Vida Media ISA_" xfId="542" xr:uid="{00441CA2-FA04-47DA-A75A-F01C7793FEE1}"/>
    <cellStyle name="_Modelo Bocas de Ceniza 4_Bases_Generales_ActiFijos" xfId="543" xr:uid="{78494267-C37C-4D34-935E-F6697B421232}"/>
    <cellStyle name="_Modelo Bocas de Ceniza 4_Bases_Generales_ActiFijos_PPT Final" xfId="544" xr:uid="{BB654AF2-82DD-43CF-A18B-A345E364F907}"/>
    <cellStyle name="_Modelo Bocas de Ceniza 4_Bases_Generales_ActiFijos_Vida Media ISA_" xfId="545" xr:uid="{3310714D-BE55-4E41-B59D-04B4358CC16D}"/>
    <cellStyle name="_Modelo Bocas de Ceniza 4_Bases_Generales_Bases_Generales" xfId="546" xr:uid="{64216447-C0EC-4F46-A777-FC373FBCBEA1}"/>
    <cellStyle name="_Modelo Bocas de Ceniza 4_Bases_Generales_C.M.E." xfId="547" xr:uid="{D2FBCD5B-4B2E-4278-BE43-2EE5FEDCBAC7}"/>
    <cellStyle name="_Modelo Bocas de Ceniza 4_Bases_Generales_C.M.E._PPT Final" xfId="548" xr:uid="{6CC3AF55-A09D-4B43-AB11-F20ED38A7E95}"/>
    <cellStyle name="_Modelo Bocas de Ceniza 4_Bases_Generales_C.M.E._Vida Media ISA_" xfId="549" xr:uid="{51BEE0F9-952C-4A69-936E-1D8EA9608F45}"/>
    <cellStyle name="_Modelo Bocas de Ceniza 4_Bases_Generales_C.M.L." xfId="550" xr:uid="{7E5E10FB-6851-4B6E-90BB-F1B1C3B481F0}"/>
    <cellStyle name="_Modelo Bocas de Ceniza 4_Bases_Generales_C.M.L._PPT Final" xfId="551" xr:uid="{49321F31-89E6-4555-A57A-67A96608D74E}"/>
    <cellStyle name="_Modelo Bocas de Ceniza 4_Bases_Generales_C.M.L._Vida Media ISA_" xfId="552" xr:uid="{A51C981E-81EA-403F-B4F0-62660ECAA2EF}"/>
    <cellStyle name="_Modelo Bocas de Ceniza 4_Bases_Generales_EF-2008-07-consolidado" xfId="553" xr:uid="{960220B0-AA06-4E50-A6C9-69A6400E1300}"/>
    <cellStyle name="_Modelo Bocas de Ceniza 4_Bases_Generales_EF-2008-08-consolidado" xfId="554" xr:uid="{835748A1-24FF-4CBF-B4AB-62AAD9A9D11B}"/>
    <cellStyle name="_Modelo Bocas de Ceniza 4_Bases_Generales_EF-2008-09-consolidado" xfId="555" xr:uid="{DE7F9A63-7FA7-4B7D-BF91-4D7EA80890EA}"/>
    <cellStyle name="_Modelo Bocas de Ceniza 4_Bases_Generales_EF-2008-10-consolidado" xfId="556" xr:uid="{CB090B47-1225-4143-B882-C6205AFC9834}"/>
    <cellStyle name="_Modelo Bocas de Ceniza 4_Bases_Generales_EF-2008-11-consolidado" xfId="557" xr:uid="{9F0A31A2-8F22-42A9-B22F-B4BD6C508DAD}"/>
    <cellStyle name="_Modelo Bocas de Ceniza 4_Bases_Generales_EF-2008-12-consolidado" xfId="558" xr:uid="{C517B908-E3C1-4DED-8744-AF5AA61C6C91}"/>
    <cellStyle name="_Modelo Bocas de Ceniza 4_Bases_Generales_EF-2009-03-consolidado" xfId="559" xr:uid="{B8C44FBE-44E5-47A0-8F0D-8A7B6864F21E}"/>
    <cellStyle name="_Modelo Bocas de Ceniza 4_Bases_Generales_Esc.Macro" xfId="560" xr:uid="{491CFD41-1D58-4C91-813B-C62F827F10C5}"/>
    <cellStyle name="_Modelo Bocas de Ceniza 4_Bases_Generales_Esc.Macro_PPT Final" xfId="561" xr:uid="{30831720-825D-4474-AAD7-CC85B29D9369}"/>
    <cellStyle name="_Modelo Bocas de Ceniza 4_Bases_Generales_Esc.Macro_Vida Media ISA_" xfId="562" xr:uid="{AE743645-BF9E-4678-987E-BF21C396A50F}"/>
    <cellStyle name="_Modelo Bocas de Ceniza 4_Bases_Generales_G_Loans" xfId="563" xr:uid="{87A970E1-B6BA-4F8C-A318-5AEEF68D1866}"/>
    <cellStyle name="_Modelo Bocas de Ceniza 4_Bases_Generales_G_Loans_PPT Final" xfId="564" xr:uid="{F0E05904-25F4-4B2C-BC51-3622EF71D261}"/>
    <cellStyle name="_Modelo Bocas de Ceniza 4_Bases_Generales_G_Loans_Vida Media ISA_" xfId="565" xr:uid="{2864DE23-D3EF-4333-A02B-B71927439A01}"/>
    <cellStyle name="_Modelo Bocas de Ceniza 4_Bases_Generales_Libro1" xfId="566" xr:uid="{3C4C3367-ED45-446A-B2F1-F3CC5721DF54}"/>
    <cellStyle name="_Modelo Bocas de Ceniza 4_Bases_Generales_PPT Final" xfId="567" xr:uid="{A49A82D0-98F7-48A5-8092-F7FA0863B53F}"/>
    <cellStyle name="_Modelo Bocas de Ceniza 4_Bases_Generales_PyG" xfId="568" xr:uid="{0B8C82B5-6D20-43AC-AFB9-1A66D8D80133}"/>
    <cellStyle name="_Modelo Bocas de Ceniza 4_Bases_Generales_Vida Media ISA_" xfId="569" xr:uid="{AA330E06-4449-42A1-8635-02FDCCF79D51}"/>
    <cellStyle name="_Modelo Bocas de Ceniza 4_Caja2007" xfId="570" xr:uid="{C50CA15C-F95B-48C1-8AB8-33D6A4FE67E6}"/>
    <cellStyle name="_Modelo Bocas de Ceniza 4_Caja2007 2" xfId="571" xr:uid="{F9172BAB-96B5-4612-A582-B19E749A2CDF}"/>
    <cellStyle name="_Modelo Bocas de Ceniza 4_Caja2007 2_PPT Final" xfId="572" xr:uid="{115EA9A0-EAB6-44AF-832C-4E424B1DF8DF}"/>
    <cellStyle name="_Modelo Bocas de Ceniza 4_Caja2007 2_Vida Media ISA_" xfId="573" xr:uid="{44043A72-4424-4C35-8F52-C74430F5A0FB}"/>
    <cellStyle name="_Modelo Bocas de Ceniza 4_Caja2007 3" xfId="574" xr:uid="{7DB199BC-974F-4D88-8895-9D8AD5A73DB3}"/>
    <cellStyle name="_Modelo Bocas de Ceniza 4_Caja2007 3_PPT Final" xfId="575" xr:uid="{1B03CCAC-0C8E-44E7-927E-D843D39204C8}"/>
    <cellStyle name="_Modelo Bocas de Ceniza 4_Caja2007 3_Vida Media ISA_" xfId="576" xr:uid="{E835FC60-7639-48F6-9E45-3F91C4920FC2}"/>
    <cellStyle name="_Modelo Bocas de Ceniza 4_Caja2007 4" xfId="577" xr:uid="{9978EA76-39F8-4096-BDA6-C7B638346C10}"/>
    <cellStyle name="_Modelo Bocas de Ceniza 4_Caja2007 4_PPT Final" xfId="578" xr:uid="{76B45D25-698C-4A20-8751-AA92B63F209E}"/>
    <cellStyle name="_Modelo Bocas de Ceniza 4_Caja2007 4_Vida Media ISA_" xfId="579" xr:uid="{929985EC-B815-402C-B233-C0BC72530B1D}"/>
    <cellStyle name="_Modelo Bocas de Ceniza 4_Caja2007 5" xfId="580" xr:uid="{6EFEC82D-82D2-490A-95FC-094B6D1F9974}"/>
    <cellStyle name="_Modelo Bocas de Ceniza 4_Caja2007 6" xfId="581" xr:uid="{99553ACA-7E52-4515-8906-2F4F5C9AE24A}"/>
    <cellStyle name="_Modelo Bocas de Ceniza 4_Caja2007 7" xfId="582" xr:uid="{82DECFFD-899E-4F89-A8FE-7C5C35B13413}"/>
    <cellStyle name="_Modelo Bocas de Ceniza 4_Caja2007 8" xfId="583" xr:uid="{80408E48-B387-45CE-8370-D6AE7F862793}"/>
    <cellStyle name="_Modelo Bocas de Ceniza 4_Caja2007_ActiFijos" xfId="584" xr:uid="{A1FDB359-888B-4578-891C-44A9BB0F6ACC}"/>
    <cellStyle name="_Modelo Bocas de Ceniza 4_Caja2007_ActiFijos_PPT Final" xfId="585" xr:uid="{453188BC-6752-4750-81ED-28721A85CC0D}"/>
    <cellStyle name="_Modelo Bocas de Ceniza 4_Caja2007_ActiFijos_Vida Media ISA_" xfId="586" xr:uid="{78B973C4-57CB-4298-BCC2-9E3E4AE62D18}"/>
    <cellStyle name="_Modelo Bocas de Ceniza 4_Caja2007_C.M.E." xfId="587" xr:uid="{F8174818-E259-4858-9EA2-96A01714B500}"/>
    <cellStyle name="_Modelo Bocas de Ceniza 4_Caja2007_C.M.E._PPT Final" xfId="588" xr:uid="{2714745B-3B8D-4975-9CF3-E433F5680F3B}"/>
    <cellStyle name="_Modelo Bocas de Ceniza 4_Caja2007_C.M.E._Vida Media ISA_" xfId="589" xr:uid="{FD940BCA-039C-466D-8624-ECBCEE5792B8}"/>
    <cellStyle name="_Modelo Bocas de Ceniza 4_Caja2007_C.M.L." xfId="590" xr:uid="{56DFD0C5-1B19-488B-80F5-96FEFF8B9B53}"/>
    <cellStyle name="_Modelo Bocas de Ceniza 4_Caja2007_C.M.L._PPT Final" xfId="591" xr:uid="{4BFBDF33-D4F8-4C3D-BBF8-7AF437B4F171}"/>
    <cellStyle name="_Modelo Bocas de Ceniza 4_Caja2007_C.M.L._Vida Media ISA_" xfId="592" xr:uid="{23704D8B-9636-4EDD-8E98-0A23D264448E}"/>
    <cellStyle name="_Modelo Bocas de Ceniza 4_Caja2007_EF-2008-07-consolidado" xfId="593" xr:uid="{E10B3EBC-EBF8-4841-8A28-25CC51604648}"/>
    <cellStyle name="_Modelo Bocas de Ceniza 4_Caja2007_EF-2008-08-consolidado" xfId="594" xr:uid="{E8990CDC-65DD-4143-890E-F9F805457AE7}"/>
    <cellStyle name="_Modelo Bocas de Ceniza 4_Caja2007_EF-2008-09-consolidado" xfId="595" xr:uid="{037C3ADB-7D4D-4432-9F20-7154C6C9493A}"/>
    <cellStyle name="_Modelo Bocas de Ceniza 4_Caja2007_EF-2008-10-consolidado" xfId="596" xr:uid="{565C58EB-085A-4F47-B8E4-60DEE8E01B9C}"/>
    <cellStyle name="_Modelo Bocas de Ceniza 4_Caja2007_EF-2008-11-consolidado" xfId="597" xr:uid="{93069DDE-6C9A-4911-999D-934715E357D9}"/>
    <cellStyle name="_Modelo Bocas de Ceniza 4_Caja2007_EF-2008-12-consolidado" xfId="598" xr:uid="{54952860-F772-4534-B46B-3B3B818848AC}"/>
    <cellStyle name="_Modelo Bocas de Ceniza 4_Caja2007_EF-2009-03-consolidado" xfId="599" xr:uid="{8E5E84E8-D611-491B-AF88-453C08A422D6}"/>
    <cellStyle name="_Modelo Bocas de Ceniza 4_Caja2007_Esc.Macro" xfId="600" xr:uid="{A01A57CE-5BAA-4B06-9588-8DB9A200FFF9}"/>
    <cellStyle name="_Modelo Bocas de Ceniza 4_Caja2007_Esc.Macro_PPT Final" xfId="601" xr:uid="{34EF0A71-0CB1-4D82-AEB6-0728439EF1DB}"/>
    <cellStyle name="_Modelo Bocas de Ceniza 4_Caja2007_Esc.Macro_Vida Media ISA_" xfId="602" xr:uid="{2B0288D0-63CE-43B7-A11F-0AF5DC874F94}"/>
    <cellStyle name="_Modelo Bocas de Ceniza 4_Caja2007_G_Loans" xfId="603" xr:uid="{A98D712A-82A6-4614-9B06-183B514E0A8D}"/>
    <cellStyle name="_Modelo Bocas de Ceniza 4_Caja2007_G_Loans_PPT Final" xfId="604" xr:uid="{52446F7F-8EFB-4E29-ACFC-67EB227E5A80}"/>
    <cellStyle name="_Modelo Bocas de Ceniza 4_Caja2007_G_Loans_Vida Media ISA_" xfId="605" xr:uid="{64218FCD-A0EE-408D-B461-8041BAA92763}"/>
    <cellStyle name="_Modelo Bocas de Ceniza 4_Caja2007_Libro1" xfId="606" xr:uid="{5D1FCE94-5341-4314-9DC2-AFF1911194C6}"/>
    <cellStyle name="_Modelo Bocas de Ceniza 4_Caja2007_PPT Final" xfId="607" xr:uid="{AB105BAA-808E-4E6F-A9A8-9E2454DFCF9C}"/>
    <cellStyle name="_Modelo Bocas de Ceniza 4_Caja2007_Vida Media ISA_" xfId="608" xr:uid="{A6A591CA-637D-4CA9-BB5A-77A4E7C02AE7}"/>
    <cellStyle name="_Modelo Bocas de Ceniza 4_EF-2008-07-consolidado" xfId="609" xr:uid="{A210D06A-9844-437F-BC65-05D63F2B4A43}"/>
    <cellStyle name="_Modelo Bocas de Ceniza 4_EF-2008-08-consolidado" xfId="610" xr:uid="{0D601305-17AA-47DA-85B5-85F1D1CC8445}"/>
    <cellStyle name="_Modelo Bocas de Ceniza 4_EF-2008-09-consolidado" xfId="611" xr:uid="{8511D712-1CE5-46A8-8AA0-F0472DA04308}"/>
    <cellStyle name="_Modelo Bocas de Ceniza 4_EF-2008-10-consolidado" xfId="612" xr:uid="{E8387806-CA24-4310-AAEE-6FB5AF0DB42C}"/>
    <cellStyle name="_Modelo Bocas de Ceniza 4_EF-2008-11-consolidado" xfId="613" xr:uid="{49FB7A76-6780-49DC-84ED-B4B9AFD27A6E}"/>
    <cellStyle name="_Modelo Bocas de Ceniza 4_EF-2008-12-consolidado" xfId="614" xr:uid="{4898DC58-6D6D-49EF-9363-AB22CEBE9383}"/>
    <cellStyle name="_Modelo Bocas de Ceniza 4_EF-2009-03-consolidado" xfId="615" xr:uid="{115FD2BC-AF5C-44A5-B66A-108147007CC8}"/>
    <cellStyle name="_Modelo Bocas de Ceniza 4_ER08" xfId="616" xr:uid="{10FCCA15-C0FD-41AB-90B7-176E79937FB8}"/>
    <cellStyle name="_Modelo Bocas de Ceniza 4_ER08 2" xfId="617" xr:uid="{857E480F-F84E-462C-9C22-6AF7F46D7814}"/>
    <cellStyle name="_Modelo Bocas de Ceniza 4_ER08 2_PPT Final" xfId="618" xr:uid="{64A39896-18FF-408D-99D5-DB9C1E05F0A6}"/>
    <cellStyle name="_Modelo Bocas de Ceniza 4_ER08 2_Vida Media ISA_" xfId="619" xr:uid="{1470610C-42DE-45DE-B49A-21858CA2D48D}"/>
    <cellStyle name="_Modelo Bocas de Ceniza 4_ER08 3" xfId="620" xr:uid="{AA53284F-3057-4BCE-AB4B-24FE592DEF8D}"/>
    <cellStyle name="_Modelo Bocas de Ceniza 4_ER08 3_PPT Final" xfId="621" xr:uid="{3091AB04-8EDB-4CC3-975D-56BA23A2A544}"/>
    <cellStyle name="_Modelo Bocas de Ceniza 4_ER08 3_Vida Media ISA_" xfId="622" xr:uid="{D64D47AF-0C5B-4462-A3C8-CB100152E055}"/>
    <cellStyle name="_Modelo Bocas de Ceniza 4_ER08 4" xfId="623" xr:uid="{596B646E-984D-4F90-AC29-C3D38CFD7D0A}"/>
    <cellStyle name="_Modelo Bocas de Ceniza 4_ER08 4_PPT Final" xfId="624" xr:uid="{81B39B14-E4CD-4883-8310-ED5CA0639CBF}"/>
    <cellStyle name="_Modelo Bocas de Ceniza 4_ER08 4_Vida Media ISA_" xfId="625" xr:uid="{BEA680F9-53F3-4005-99E5-41DBD18C33A1}"/>
    <cellStyle name="_Modelo Bocas de Ceniza 4_ER08 5" xfId="626" xr:uid="{97E15E28-DB7A-47BE-A289-F0D80A147834}"/>
    <cellStyle name="_Modelo Bocas de Ceniza 4_ER08 6" xfId="627" xr:uid="{BC53447C-BE43-4B64-82C4-79636CC6FA3F}"/>
    <cellStyle name="_Modelo Bocas de Ceniza 4_ER08 7" xfId="628" xr:uid="{0E7059B7-02BF-402D-B846-A17C748B1024}"/>
    <cellStyle name="_Modelo Bocas de Ceniza 4_ER08 8" xfId="629" xr:uid="{59CA838A-87AC-472D-9B9F-0B78F09AD49D}"/>
    <cellStyle name="_Modelo Bocas de Ceniza 4_ER08_ActiFijos" xfId="630" xr:uid="{B81313F2-23DB-4209-8A71-8D40AE5EA0B5}"/>
    <cellStyle name="_Modelo Bocas de Ceniza 4_ER08_ActiFijos_PPT Final" xfId="631" xr:uid="{3ADB03D2-20BF-4AF2-9819-7ABEFC0D1DF0}"/>
    <cellStyle name="_Modelo Bocas de Ceniza 4_ER08_ActiFijos_Vida Media ISA_" xfId="632" xr:uid="{BBB235ED-2350-44B8-AE4C-CF69E74A553E}"/>
    <cellStyle name="_Modelo Bocas de Ceniza 4_ER08_C.M.E." xfId="633" xr:uid="{B0E07DD1-A22B-483D-B519-9CA7A2CD2961}"/>
    <cellStyle name="_Modelo Bocas de Ceniza 4_ER08_C.M.E._PPT Final" xfId="634" xr:uid="{C65B21DA-4773-4701-A49D-9AC56D3833D4}"/>
    <cellStyle name="_Modelo Bocas de Ceniza 4_ER08_C.M.E._Vida Media ISA_" xfId="635" xr:uid="{516E3546-222A-424B-85D7-210BD6398B37}"/>
    <cellStyle name="_Modelo Bocas de Ceniza 4_ER08_C.M.L." xfId="636" xr:uid="{BF1F7707-31B1-47F0-A241-E91F9C5A2278}"/>
    <cellStyle name="_Modelo Bocas de Ceniza 4_ER08_C.M.L._PPT Final" xfId="637" xr:uid="{CFAED607-15ED-4C64-BFB5-A18726CCAEAA}"/>
    <cellStyle name="_Modelo Bocas de Ceniza 4_ER08_C.M.L._Vida Media ISA_" xfId="638" xr:uid="{2D29BEC5-0CD4-430C-9B53-97F30895B3A2}"/>
    <cellStyle name="_Modelo Bocas de Ceniza 4_ER08_Esc.Macro" xfId="639" xr:uid="{A8FFA706-3B66-478A-9874-869799341337}"/>
    <cellStyle name="_Modelo Bocas de Ceniza 4_ER08_Esc.Macro_PPT Final" xfId="640" xr:uid="{AF023BDD-212D-4EAA-ADA1-EB428C8196B6}"/>
    <cellStyle name="_Modelo Bocas de Ceniza 4_ER08_Esc.Macro_Vida Media ISA_" xfId="641" xr:uid="{904AEB3D-32E3-433A-92BB-6C3A25C5B031}"/>
    <cellStyle name="_Modelo Bocas de Ceniza 4_ER08_G_Loans" xfId="642" xr:uid="{C8F559D4-503A-4DAB-B9EA-0C8A8E4CBFE5}"/>
    <cellStyle name="_Modelo Bocas de Ceniza 4_ER08_G_Loans_PPT Final" xfId="643" xr:uid="{55144A2E-5DC7-41FE-B251-2452BA96437E}"/>
    <cellStyle name="_Modelo Bocas de Ceniza 4_ER08_G_Loans_Vida Media ISA_" xfId="644" xr:uid="{A01DF108-632D-468A-BDE0-7564B0B465F3}"/>
    <cellStyle name="_Modelo Bocas de Ceniza 4_ER08_PPT Final" xfId="645" xr:uid="{295C0BAF-3C08-4DAF-8C5F-58E8488B1C67}"/>
    <cellStyle name="_Modelo Bocas de Ceniza 4_ER08_Vida Media ISA_" xfId="646" xr:uid="{3D5C5334-CFB4-4C08-9C85-CD6F90432058}"/>
    <cellStyle name="_Modelo Bocas de Ceniza 4_Indicadores" xfId="647" xr:uid="{9756800E-9317-45BA-8CBF-0DD17554AA1E}"/>
    <cellStyle name="_Modelo Bocas de Ceniza 4_Indicadores 2" xfId="648" xr:uid="{E11D762B-8DED-4EFC-9C1F-77800E6ABD04}"/>
    <cellStyle name="_Modelo Bocas de Ceniza 4_Indicadores 2_PPT Final" xfId="649" xr:uid="{E850FB55-76CB-411A-9C71-32A8FB566743}"/>
    <cellStyle name="_Modelo Bocas de Ceniza 4_Indicadores 2_Vida Media ISA_" xfId="650" xr:uid="{01313F04-BA2E-4085-A0EF-422D5B025D43}"/>
    <cellStyle name="_Modelo Bocas de Ceniza 4_Indicadores 3" xfId="651" xr:uid="{6C23528E-597C-4456-9787-4B1C6E61BCB7}"/>
    <cellStyle name="_Modelo Bocas de Ceniza 4_Indicadores 3_PPT Final" xfId="652" xr:uid="{AE2FE097-CBAA-47FA-ADC5-F747F4E3199A}"/>
    <cellStyle name="_Modelo Bocas de Ceniza 4_Indicadores 3_Vida Media ISA_" xfId="653" xr:uid="{C3651F88-A018-4823-8E53-99B606B5F560}"/>
    <cellStyle name="_Modelo Bocas de Ceniza 4_Indicadores 4" xfId="654" xr:uid="{485A02BE-21A7-4792-BB4F-2AB2EEECAD00}"/>
    <cellStyle name="_Modelo Bocas de Ceniza 4_Indicadores 4_PPT Final" xfId="655" xr:uid="{BEE25D01-01E1-4873-B802-58987ED8CA0A}"/>
    <cellStyle name="_Modelo Bocas de Ceniza 4_Indicadores 4_Vida Media ISA_" xfId="656" xr:uid="{AB3F3FD9-84A4-48ED-85D3-F4706EF903AC}"/>
    <cellStyle name="_Modelo Bocas de Ceniza 4_Indicadores 5" xfId="657" xr:uid="{63537AAE-5F6C-4E7B-8A44-17378EAB0F2F}"/>
    <cellStyle name="_Modelo Bocas de Ceniza 4_Indicadores 6" xfId="658" xr:uid="{2B18FFD6-2631-465C-AE40-1C4F5EAC79AD}"/>
    <cellStyle name="_Modelo Bocas de Ceniza 4_Indicadores 7" xfId="659" xr:uid="{A0360388-D163-46E1-A447-21BE3F25C300}"/>
    <cellStyle name="_Modelo Bocas de Ceniza 4_Indicadores 8" xfId="660" xr:uid="{5ACEFEF4-FE42-4673-8AE1-C2E343AA0C9E}"/>
    <cellStyle name="_Modelo Bocas de Ceniza 4_Indicadores_ActiFijos" xfId="661" xr:uid="{4D533D5A-200F-4053-8C65-472C6FDE1285}"/>
    <cellStyle name="_Modelo Bocas de Ceniza 4_Indicadores_ActiFijos_PPT Final" xfId="662" xr:uid="{DC2F5432-0496-4FAA-9F24-6F4CD67633D5}"/>
    <cellStyle name="_Modelo Bocas de Ceniza 4_Indicadores_ActiFijos_Vida Media ISA_" xfId="663" xr:uid="{91D11DB4-10E2-4038-B836-251219C1ED8A}"/>
    <cellStyle name="_Modelo Bocas de Ceniza 4_Indicadores_C.M.E." xfId="664" xr:uid="{C0734147-C788-4177-AFC9-9FF5F58734F1}"/>
    <cellStyle name="_Modelo Bocas de Ceniza 4_Indicadores_C.M.E._PPT Final" xfId="665" xr:uid="{FF01AC08-4EF5-43A6-BEBD-DD20837FB636}"/>
    <cellStyle name="_Modelo Bocas de Ceniza 4_Indicadores_C.M.E._Vida Media ISA_" xfId="666" xr:uid="{564F58EE-493B-4401-9B19-12296E56EF72}"/>
    <cellStyle name="_Modelo Bocas de Ceniza 4_Indicadores_C.M.L." xfId="667" xr:uid="{7380AFDE-88A3-430D-84D7-63BB0D705AB1}"/>
    <cellStyle name="_Modelo Bocas de Ceniza 4_Indicadores_C.M.L._PPT Final" xfId="668" xr:uid="{D87C90C9-B08F-4281-AD6B-2E54D7C19F74}"/>
    <cellStyle name="_Modelo Bocas de Ceniza 4_Indicadores_C.M.L._Vida Media ISA_" xfId="669" xr:uid="{76C2E0B3-D3EE-42C8-AE0A-287D2DB14D63}"/>
    <cellStyle name="_Modelo Bocas de Ceniza 4_Indicadores_Esc.Macro" xfId="670" xr:uid="{BAA0B8CB-E4E2-4705-8D4D-9C5C49C306D7}"/>
    <cellStyle name="_Modelo Bocas de Ceniza 4_Indicadores_Esc.Macro_PPT Final" xfId="671" xr:uid="{9C0116E3-437F-4DF5-8488-EF6C27C647ED}"/>
    <cellStyle name="_Modelo Bocas de Ceniza 4_Indicadores_Esc.Macro_Vida Media ISA_" xfId="672" xr:uid="{EF993CCD-2BB2-4AC8-96C8-C028F70A05E0}"/>
    <cellStyle name="_Modelo Bocas de Ceniza 4_Indicadores_G_Loans" xfId="673" xr:uid="{39F9A279-3067-43C4-A797-43855BBFF356}"/>
    <cellStyle name="_Modelo Bocas de Ceniza 4_Indicadores_G_Loans_PPT Final" xfId="674" xr:uid="{FDC390DF-B196-42F5-9C64-2F53F4B3CAD9}"/>
    <cellStyle name="_Modelo Bocas de Ceniza 4_Indicadores_G_Loans_Vida Media ISA_" xfId="675" xr:uid="{0DB59A3E-8743-4484-9572-A276C2AAC4C6}"/>
    <cellStyle name="_Modelo Bocas de Ceniza 4_Indicadores_PPT Final" xfId="676" xr:uid="{CA4CCCA4-F49D-4435-A5C4-11892E8FC334}"/>
    <cellStyle name="_Modelo Bocas de Ceniza 4_Indicadores_Vida Media ISA_" xfId="677" xr:uid="{8A3AEB2A-FBAC-49FB-8DCD-9BB43185D98F}"/>
    <cellStyle name="_Modelo Bocas de Ceniza 4_Libro1" xfId="678" xr:uid="{9B583E1C-53DA-4984-BE59-656A14D0A51A}"/>
    <cellStyle name="_Modelo Bocas de Ceniza 4_Mov Balance" xfId="679" xr:uid="{860E979E-7E98-4967-ABA0-68FEF1C21FE2}"/>
    <cellStyle name="_Modelo Bocas de Ceniza 4_Mov Balance 2" xfId="680" xr:uid="{A2271295-F0BE-42EB-9006-1A57883418BB}"/>
    <cellStyle name="_Modelo Bocas de Ceniza 4_Mov Balance 2_PPT Final" xfId="681" xr:uid="{1AACEFF3-6C46-4411-8978-78B370DD3D2E}"/>
    <cellStyle name="_Modelo Bocas de Ceniza 4_Mov Balance 2_Vida Media ISA_" xfId="682" xr:uid="{FE2A088D-4944-44D8-8A80-2DF0FB195B7F}"/>
    <cellStyle name="_Modelo Bocas de Ceniza 4_Mov Balance 3" xfId="683" xr:uid="{8934EE60-6D11-4DF5-94EB-EE44D7421788}"/>
    <cellStyle name="_Modelo Bocas de Ceniza 4_Mov Balance 3_PPT Final" xfId="684" xr:uid="{45B16E97-0E10-4648-B2AE-196ACD6FE70C}"/>
    <cellStyle name="_Modelo Bocas de Ceniza 4_Mov Balance 3_Vida Media ISA_" xfId="685" xr:uid="{D4F3971D-43B3-4466-935E-C292CE84DA1B}"/>
    <cellStyle name="_Modelo Bocas de Ceniza 4_Mov Balance 4" xfId="686" xr:uid="{C0C241F7-37B0-4E38-81CD-0BDF024ACD20}"/>
    <cellStyle name="_Modelo Bocas de Ceniza 4_Mov Balance 4_PPT Final" xfId="687" xr:uid="{F7BF544F-74BB-498C-8D65-1FC3846BE666}"/>
    <cellStyle name="_Modelo Bocas de Ceniza 4_Mov Balance 4_Vida Media ISA_" xfId="688" xr:uid="{B15E75C6-FB4E-466C-A7A7-C4AC3D603E27}"/>
    <cellStyle name="_Modelo Bocas de Ceniza 4_Mov Balance 5" xfId="689" xr:uid="{DD993A2A-801B-4668-82FD-DD2420669998}"/>
    <cellStyle name="_Modelo Bocas de Ceniza 4_Mov Balance 6" xfId="690" xr:uid="{80311887-5D6B-45EA-B162-8BAAA815FEB0}"/>
    <cellStyle name="_Modelo Bocas de Ceniza 4_Mov Balance 7" xfId="691" xr:uid="{0D480C3A-2772-44AD-98E7-6FF38D877220}"/>
    <cellStyle name="_Modelo Bocas de Ceniza 4_Mov Balance 8" xfId="692" xr:uid="{D969C006-7C3E-4D4B-8D5D-F91ABAF57267}"/>
    <cellStyle name="_Modelo Bocas de Ceniza 4_Mov Balance_ActiFijos" xfId="693" xr:uid="{33E56C10-28B4-41BD-A142-8E6CBC5C1B3C}"/>
    <cellStyle name="_Modelo Bocas de Ceniza 4_Mov Balance_ActiFijos_PPT Final" xfId="694" xr:uid="{36F43344-EB26-49B3-81F2-CEFBE6937968}"/>
    <cellStyle name="_Modelo Bocas de Ceniza 4_Mov Balance_ActiFijos_Vida Media ISA_" xfId="695" xr:uid="{0B5F1B34-8B55-4B62-A06A-FA745DAD9F59}"/>
    <cellStyle name="_Modelo Bocas de Ceniza 4_Mov Balance_C.M.E." xfId="696" xr:uid="{67EB9E16-FB0C-40FD-8A7B-3CDE6A45FBFB}"/>
    <cellStyle name="_Modelo Bocas de Ceniza 4_Mov Balance_C.M.E._PPT Final" xfId="697" xr:uid="{9F34DF32-01FF-4841-AE9F-BF74969F43E9}"/>
    <cellStyle name="_Modelo Bocas de Ceniza 4_Mov Balance_C.M.E._Vida Media ISA_" xfId="698" xr:uid="{2013BEE8-D41F-47D7-87C3-9E122C181846}"/>
    <cellStyle name="_Modelo Bocas de Ceniza 4_Mov Balance_C.M.L." xfId="699" xr:uid="{0AA44543-1261-4D7A-B0C9-6AE6A26F3471}"/>
    <cellStyle name="_Modelo Bocas de Ceniza 4_Mov Balance_C.M.L._PPT Final" xfId="700" xr:uid="{9828D78F-24E4-47D0-8C54-CC55CCB72DDC}"/>
    <cellStyle name="_Modelo Bocas de Ceniza 4_Mov Balance_C.M.L._Vida Media ISA_" xfId="701" xr:uid="{297A6431-2BCE-4FCC-A73C-6BB9BE5A9236}"/>
    <cellStyle name="_Modelo Bocas de Ceniza 4_Mov Balance_EF-2008-07-consolidado" xfId="702" xr:uid="{5634EA82-3303-4F45-9925-DF9CBA5C74FE}"/>
    <cellStyle name="_Modelo Bocas de Ceniza 4_Mov Balance_EF-2008-08-consolidado" xfId="703" xr:uid="{319EF1B5-65B3-424F-95C5-8EB70E8DBBA9}"/>
    <cellStyle name="_Modelo Bocas de Ceniza 4_Mov Balance_EF-2008-09-consolidado" xfId="704" xr:uid="{CD69F331-3CB0-42FD-95CB-DC34316426D0}"/>
    <cellStyle name="_Modelo Bocas de Ceniza 4_Mov Balance_EF-2008-10-consolidado" xfId="705" xr:uid="{6F6286E9-B966-4D10-A112-BFDFC142DF47}"/>
    <cellStyle name="_Modelo Bocas de Ceniza 4_Mov Balance_EF-2008-11-consolidado" xfId="706" xr:uid="{A1D1D4FA-FA1D-40AD-9447-D138AC276168}"/>
    <cellStyle name="_Modelo Bocas de Ceniza 4_Mov Balance_EF-2008-12-consolidado" xfId="707" xr:uid="{14906530-5111-4F5C-9A3C-48EC91E6177B}"/>
    <cellStyle name="_Modelo Bocas de Ceniza 4_Mov Balance_EF-2009-03-consolidado" xfId="708" xr:uid="{3BEB1C16-0C91-4EA5-872D-E956CFF59EF2}"/>
    <cellStyle name="_Modelo Bocas de Ceniza 4_Mov Balance_Esc.Macro" xfId="709" xr:uid="{63D9C178-ABC4-4B00-BEE4-56329975B862}"/>
    <cellStyle name="_Modelo Bocas de Ceniza 4_Mov Balance_Esc.Macro_PPT Final" xfId="710" xr:uid="{C1C3D418-1E89-42F5-B066-0EA45A9DB56E}"/>
    <cellStyle name="_Modelo Bocas de Ceniza 4_Mov Balance_Esc.Macro_Vida Media ISA_" xfId="711" xr:uid="{0DDA68FC-6383-441B-89F1-7D5D85E3438A}"/>
    <cellStyle name="_Modelo Bocas de Ceniza 4_Mov Balance_G_Loans" xfId="712" xr:uid="{3CF5381D-EC93-473E-81B6-427608BFA0B1}"/>
    <cellStyle name="_Modelo Bocas de Ceniza 4_Mov Balance_G_Loans_PPT Final" xfId="713" xr:uid="{B2C47CF7-65F5-4492-9AAD-BE91A95234C8}"/>
    <cellStyle name="_Modelo Bocas de Ceniza 4_Mov Balance_G_Loans_Vida Media ISA_" xfId="714" xr:uid="{66EB0F20-B027-475C-8A28-51A5BA315172}"/>
    <cellStyle name="_Modelo Bocas de Ceniza 4_Mov Balance_Libro1" xfId="715" xr:uid="{D5D4CD99-0F6A-4DB8-ACA4-E455F2986FC2}"/>
    <cellStyle name="_Modelo Bocas de Ceniza 4_Mov Balance_PPT Final" xfId="716" xr:uid="{D40AAC99-FA04-429A-92A4-4FEFA43D3AC6}"/>
    <cellStyle name="_Modelo Bocas de Ceniza 4_Mov Balance_Vida Media ISA_" xfId="717" xr:uid="{B9E001B6-46B4-4F66-A3D5-54EF64CCF72A}"/>
    <cellStyle name="_Modelo Bocas de Ceniza 4_PPT Final" xfId="718" xr:uid="{0EE937F6-7BDE-40EB-A705-878533A9F03C}"/>
    <cellStyle name="_Modelo Bocas de Ceniza 4_Renta" xfId="719" xr:uid="{EEB2DC9A-F34A-4ABA-8C3F-ED6C0B89F0D6}"/>
    <cellStyle name="_Modelo Bocas de Ceniza 4_Renta 2" xfId="720" xr:uid="{FABAEAC0-F975-457C-9EA6-3472297AA068}"/>
    <cellStyle name="_Modelo Bocas de Ceniza 4_Renta 3" xfId="721" xr:uid="{CB873846-2940-483D-B173-550A21DC0011}"/>
    <cellStyle name="_Modelo Bocas de Ceniza 4_Vida Media ISA_" xfId="722" xr:uid="{E34F1907-58CD-47EA-AEC8-F4CDB9FCC712}"/>
    <cellStyle name="_x0001__x0004__x0001_” " xfId="723" xr:uid="{2F1BC026-B39B-42A2-A7CA-D0C00D46D732}"/>
    <cellStyle name="_x0001__x0004__x0001_”  10" xfId="3769" xr:uid="{1CFB3F8F-B8DC-4E0F-857E-0D7B83CBAF10}"/>
    <cellStyle name="_x0001__x0004__x0001_”  2" xfId="724" xr:uid="{7B3385CE-6740-40B1-A359-372FE0D665C3}"/>
    <cellStyle name="_x0001__x0004__x0001_”  2 2" xfId="3979" xr:uid="{2BD21732-A129-4104-8919-8232B0E1667E}"/>
    <cellStyle name="_x0001__x0004__x0001_”  2 3" xfId="3770" xr:uid="{EAA484F5-242E-4065-A978-F087CD49921F}"/>
    <cellStyle name="_x0001__x0004__x0001_”  3" xfId="725" xr:uid="{09EC57D3-1A42-4BA0-81E8-68E3CB4302FF}"/>
    <cellStyle name="_x0001__x0004__x0001_”  3 2" xfId="3980" xr:uid="{52221F34-B8F3-46E9-BD07-B6238171F6DC}"/>
    <cellStyle name="_x0001__x0004__x0001_”  3 3" xfId="3771" xr:uid="{673ACD07-FC37-4958-87CB-5355498DACCF}"/>
    <cellStyle name="_x0001__x0004__x0001_”  4" xfId="726" xr:uid="{9142051B-8918-494A-95BD-22F34A1E0307}"/>
    <cellStyle name="_x0001__x0004__x0001_”  4 2" xfId="3981" xr:uid="{9084F42A-6834-4D52-8E57-2C83526E938C}"/>
    <cellStyle name="_x0001__x0004__x0001_”  4 3" xfId="3772" xr:uid="{4A07A968-F976-40AF-8ED4-8ECB3F63AFBC}"/>
    <cellStyle name="_x0001__x0004__x0001_”  5" xfId="727" xr:uid="{EDC59254-A27E-4FD0-927E-4FD612B40808}"/>
    <cellStyle name="_x0001__x0004__x0001_”  5 2" xfId="728" xr:uid="{0DE72ACD-E348-460E-ADA5-1B4D62C48CC8}"/>
    <cellStyle name="_x0001__x0004__x0001_”  5 2 2" xfId="3982" xr:uid="{C02403CF-AFAC-41D7-B354-4F4D80DA2D8C}"/>
    <cellStyle name="_x0001__x0004__x0001_”  5 2 3" xfId="3774" xr:uid="{AB9F47EA-A187-4897-B3C7-7E38A0F16C6D}"/>
    <cellStyle name="_x0001__x0004__x0001_”  5 3" xfId="729" xr:uid="{A07A089C-A58E-4AE4-A4C6-E4F397DCE5E0}"/>
    <cellStyle name="_x0001__x0004__x0001_”  5 3 2" xfId="3983" xr:uid="{458C6FAD-EA14-454D-BD39-6F07462A7C14}"/>
    <cellStyle name="_x0001__x0004__x0001_”  5 3 3" xfId="3775" xr:uid="{4D67EE8D-9900-47D1-957B-9AF8A362F003}"/>
    <cellStyle name="_x0001__x0004__x0001_”  5 4" xfId="730" xr:uid="{DC312616-FE37-4FC4-A618-E219F29B1136}"/>
    <cellStyle name="_x0001__x0004__x0001_”  5 4 2" xfId="3776" xr:uid="{7DFAB4AB-2672-45FA-B458-AEE43DF3A613}"/>
    <cellStyle name="_x0001__x0004__x0001_”  5 5" xfId="731" xr:uid="{B993965D-2A34-47A2-8E6C-1E512BED9C09}"/>
    <cellStyle name="_x0001__x0004__x0001_”  5 5 2" xfId="3777" xr:uid="{0CA7C0F1-8E96-4B1A-83AC-D450805C9C5C}"/>
    <cellStyle name="_x0001__x0004__x0001_”  5 6" xfId="3773" xr:uid="{86EC5F57-C1BF-4601-B53D-4796841DA196}"/>
    <cellStyle name="_x0001__x0004__x0001_”  6" xfId="732" xr:uid="{6BECB4B5-4DE9-474E-AC65-214C0B78142E}"/>
    <cellStyle name="_x0001__x0004__x0001_”  6 2" xfId="3984" xr:uid="{08F61B87-4761-4AF3-85A8-363EF5CAAE6F}"/>
    <cellStyle name="_x0001__x0004__x0001_”  6 3" xfId="3778" xr:uid="{30702C37-8086-49ED-B8C7-4E1A5C1046B4}"/>
    <cellStyle name="_x0001__x0004__x0001_”  7" xfId="733" xr:uid="{EF36A124-4341-4710-B7E4-C7F7C7810195}"/>
    <cellStyle name="_x0001__x0004__x0001_”  7 2" xfId="3985" xr:uid="{665582D5-5D59-43F5-84B8-772724A164B7}"/>
    <cellStyle name="_x0001__x0004__x0001_”  7 3" xfId="3779" xr:uid="{1CBDDDD9-F4DA-4586-BAC2-7BE1C8A4FEFB}"/>
    <cellStyle name="_x0001__x0004__x0001_”  8" xfId="734" xr:uid="{3E46CF98-5234-4FF6-B5F9-C1D8DB55A927}"/>
    <cellStyle name="_x0001__x0004__x0001_”  8 2" xfId="3780" xr:uid="{D72D8827-24B3-4EF7-A4B0-2E853A4DB033}"/>
    <cellStyle name="_x0001__x0004__x0001_”  9" xfId="735" xr:uid="{2D7AC020-C2D8-41DC-AB8C-B7ACE1066413}"/>
    <cellStyle name="_x0001__x0004__x0001_”  9 2" xfId="3781" xr:uid="{1BC08D6A-31CC-4394-AC78-4D2AA2635C6E}"/>
    <cellStyle name="=C:\WINNT35\SYSTEM32\COMMAND.COM" xfId="736" xr:uid="{67B2D6B2-B459-4465-9CCD-D283339352DE}"/>
    <cellStyle name="=C:\WINNT35\SYSTEM32\COMMAND.COM 2" xfId="737" xr:uid="{0E1C05A0-68C2-45E2-8185-17AA85B71E99}"/>
    <cellStyle name="=C:\WINNT35\SYSTEM32\COMMAND.COM 2 2" xfId="738" xr:uid="{B32D65B8-A439-48B7-8F30-F0309CCD9530}"/>
    <cellStyle name="=C:\WINNT35\SYSTEM32\COMMAND.COM 2 2 2" xfId="3986" xr:uid="{DB84F411-52F5-431B-8119-FDC86ACBA673}"/>
    <cellStyle name="=C:\WINNT35\SYSTEM32\COMMAND.COM 2 3" xfId="739" xr:uid="{03A2B9A5-3FEE-45BF-B5B2-243A10D2E3CD}"/>
    <cellStyle name="=C:\WINNT35\SYSTEM32\COMMAND.COM 2 3 2" xfId="3987" xr:uid="{CE4A6A30-A6AF-458D-AB91-DAA00EAFDD0E}"/>
    <cellStyle name="=C:\WINNT35\SYSTEM32\COMMAND.COM 2 4" xfId="740" xr:uid="{11A0B566-405D-4D4A-8E7E-67FE8AA1A7CD}"/>
    <cellStyle name="=C:\WINNT35\SYSTEM32\COMMAND.COM 2 4 2" xfId="3988" xr:uid="{101564E7-824F-471C-BF05-E4E01A7E182A}"/>
    <cellStyle name="=C:\WINNT35\SYSTEM32\COMMAND.COM 2 5" xfId="741" xr:uid="{D9D73B76-C9D1-4495-B31E-8494DD80C437}"/>
    <cellStyle name="=C:\WINNT35\SYSTEM32\COMMAND.COM 2 5 2" xfId="3989" xr:uid="{3FE0E3F1-10AC-42FB-91D1-FDF6DDF0BB55}"/>
    <cellStyle name="=C:\WINNT35\SYSTEM32\COMMAND.COM 2 6" xfId="742" xr:uid="{C227936D-68B2-4BAA-A886-A03D1CD75C2F}"/>
    <cellStyle name="=C:\WINNT35\SYSTEM32\COMMAND.COM 2 6 2" xfId="3990" xr:uid="{249061E7-CF97-4B3F-8D9C-C531B388C6D7}"/>
    <cellStyle name="=C:\WINNT35\SYSTEM32\COMMAND.COM 2 7" xfId="743" xr:uid="{7412C52D-285A-4C4C-877A-4E90757ECEB5}"/>
    <cellStyle name="=C:\WINNT35\SYSTEM32\COMMAND.COM 2 8" xfId="744" xr:uid="{D0EDEB20-8040-496E-B421-4CB2FBB88C1D}"/>
    <cellStyle name="=C:\WINNT35\SYSTEM32\COMMAND.COM 2_ActiFijos" xfId="745" xr:uid="{680A875F-6C59-40D8-B451-FB9DA3B45E13}"/>
    <cellStyle name="=C:\WINNT35\SYSTEM32\COMMAND.COM 3" xfId="746" xr:uid="{ACC8560E-2245-441C-B30C-3862BBAEB511}"/>
    <cellStyle name="=C:\WINNT35\SYSTEM32\COMMAND.COM 3 2" xfId="747" xr:uid="{756F9204-BE8D-44FB-8757-78A047871753}"/>
    <cellStyle name="=C:\WINNT35\SYSTEM32\COMMAND.COM 3 2 2" xfId="3991" xr:uid="{A3D1D2F1-5F04-45EF-B4C9-BB5D366017D7}"/>
    <cellStyle name="=C:\WINNT35\SYSTEM32\COMMAND.COM 3 3" xfId="748" xr:uid="{6F48A60D-8E96-45E0-A45F-D71FC44BCA9A}"/>
    <cellStyle name="=C:\WINNT35\SYSTEM32\COMMAND.COM 3 3 2" xfId="3992" xr:uid="{E4C9B5BC-B460-4AE2-B381-C63604631340}"/>
    <cellStyle name="=C:\WINNT35\SYSTEM32\COMMAND.COM 3 4" xfId="749" xr:uid="{AB6C2462-0F37-4E44-8B47-9A9605AFE771}"/>
    <cellStyle name="=C:\WINNT35\SYSTEM32\COMMAND.COM 3 4 2" xfId="3993" xr:uid="{2B6E8DC6-8688-4CBB-B668-6E9FA962BFCA}"/>
    <cellStyle name="=C:\WINNT35\SYSTEM32\COMMAND.COM 3 5" xfId="750" xr:uid="{BA54EEFC-187E-4AD3-B7E8-2C97EBD0AC07}"/>
    <cellStyle name="=C:\WINNT35\SYSTEM32\COMMAND.COM 3 5 2" xfId="3994" xr:uid="{98BB88B5-93AA-4B56-860E-1E9E0E2E51A9}"/>
    <cellStyle name="=C:\WINNT35\SYSTEM32\COMMAND.COM 3 6" xfId="751" xr:uid="{B2261539-4DDD-4628-8420-A920ED1C594E}"/>
    <cellStyle name="=C:\WINNT35\SYSTEM32\COMMAND.COM 3 6 2" xfId="3995" xr:uid="{DAADFECA-EFBF-47F5-B286-34B56CB0E211}"/>
    <cellStyle name="=C:\WINNT35\SYSTEM32\COMMAND.COM 3 7" xfId="752" xr:uid="{C26BD787-8054-4283-9D2A-7DA76CDD7574}"/>
    <cellStyle name="=C:\WINNT35\SYSTEM32\COMMAND.COM 3 8" xfId="753" xr:uid="{8BD795B8-61DD-41AE-AF67-9512266B8879}"/>
    <cellStyle name="=C:\WINNT35\SYSTEM32\COMMAND.COM 3_ActiFijos" xfId="754" xr:uid="{C69061D6-5741-4065-9BB2-1F48D2B1757E}"/>
    <cellStyle name="=C:\WINNT35\SYSTEM32\COMMAND.COM 4" xfId="755" xr:uid="{24C8A02C-04CE-43C6-9063-5538485D76B3}"/>
    <cellStyle name="=C:\WINNT35\SYSTEM32\COMMAND.COM 4 2" xfId="756" xr:uid="{D90EDC8F-E20D-47E8-BE6A-6E13BCCFBFFD}"/>
    <cellStyle name="=C:\WINNT35\SYSTEM32\COMMAND.COM 4 2 2" xfId="3996" xr:uid="{8C36E00A-E6AA-40EE-9406-0ACDBC8987D0}"/>
    <cellStyle name="=C:\WINNT35\SYSTEM32\COMMAND.COM 4 3" xfId="757" xr:uid="{4AB3F053-EE75-463C-9F2C-CCBC1269A128}"/>
    <cellStyle name="=C:\WINNT35\SYSTEM32\COMMAND.COM 4 3 2" xfId="3997" xr:uid="{ADD82026-C658-4243-9241-2CF28BA453E1}"/>
    <cellStyle name="=C:\WINNT35\SYSTEM32\COMMAND.COM 4 4" xfId="758" xr:uid="{1AEC4FBB-C8E2-488D-A85A-07AF4DF153E7}"/>
    <cellStyle name="=C:\WINNT35\SYSTEM32\COMMAND.COM 4 4 2" xfId="3998" xr:uid="{5D54BE7A-8CCA-4BAA-BB6E-8082546DC454}"/>
    <cellStyle name="=C:\WINNT35\SYSTEM32\COMMAND.COM 4 5" xfId="759" xr:uid="{BFE6DF7C-FA36-48F5-81D6-C167DD91C127}"/>
    <cellStyle name="=C:\WINNT35\SYSTEM32\COMMAND.COM 4 5 2" xfId="3999" xr:uid="{540BCD96-CE5E-4C29-ADA5-B04E36C38E1A}"/>
    <cellStyle name="=C:\WINNT35\SYSTEM32\COMMAND.COM 4 6" xfId="760" xr:uid="{091A35B3-F0A3-4E47-9CA7-D2E016A1A8A3}"/>
    <cellStyle name="=C:\WINNT35\SYSTEM32\COMMAND.COM 4 6 2" xfId="4000" xr:uid="{02816704-4D52-41EB-99F6-FAC099FD8254}"/>
    <cellStyle name="=C:\WINNT35\SYSTEM32\COMMAND.COM 4 7" xfId="761" xr:uid="{307B039C-F4E2-4D48-826F-EC6EF2222283}"/>
    <cellStyle name="=C:\WINNT35\SYSTEM32\COMMAND.COM 4 8" xfId="762" xr:uid="{EE805860-1803-4B83-9CB4-9F1DCE89B38D}"/>
    <cellStyle name="=C:\WINNT35\SYSTEM32\COMMAND.COM 4_ActiFijos" xfId="763" xr:uid="{E5D77CE6-F781-4B48-A87C-6FD220F6846B}"/>
    <cellStyle name="=C:\WINNT35\SYSTEM32\COMMAND.COM 5" xfId="4001" xr:uid="{1E6EE058-A250-4B94-BB50-8DD3CB916422}"/>
    <cellStyle name="=C:\WINNT35\SYSTEM32\COMMAND.COM_Bases_Generales" xfId="764" xr:uid="{4A9EEEF6-04E6-419C-B49E-B80967CC947D}"/>
    <cellStyle name="0.0%" xfId="765" xr:uid="{068D6C8C-BA5F-4377-9DBE-E0BE60A95382}"/>
    <cellStyle name="0.0% 2" xfId="766" xr:uid="{8BB9D3EA-60A5-4D6F-9DF1-205C8B0DB390}"/>
    <cellStyle name="0.0% 2 2" xfId="767" xr:uid="{45C01831-428B-43B8-944D-0F42FEBCF3EE}"/>
    <cellStyle name="0.0% 2 3" xfId="768" xr:uid="{733FF04C-6493-4B3D-AE24-6DE393D9B922}"/>
    <cellStyle name="0.0% 2 4" xfId="769" xr:uid="{1398D790-5332-4E09-932E-8DABF519AED5}"/>
    <cellStyle name="0.0% 2 5" xfId="770" xr:uid="{7375F358-CBE2-4952-A3DA-6F17E4116CBE}"/>
    <cellStyle name="0.0% 2 6" xfId="771" xr:uid="{E786D4EB-A0EC-424C-A4D4-7315DDF4BD4E}"/>
    <cellStyle name="0.0% 2 7" xfId="772" xr:uid="{263DC426-9D73-45CD-B147-73E8A3AEA622}"/>
    <cellStyle name="0.0% 2 8" xfId="773" xr:uid="{9BA27A92-CADA-4CE9-A80C-B0ECD60BE15A}"/>
    <cellStyle name="0.0% 3" xfId="774" xr:uid="{428EB3AB-4E5A-45D5-8589-C7B25CAE234E}"/>
    <cellStyle name="0.0% 3 2" xfId="775" xr:uid="{2BA18F78-6977-439D-BFC9-88961DEB3D4B}"/>
    <cellStyle name="0.0% 3 3" xfId="776" xr:uid="{8A78270B-1C3D-495C-882E-BA904E30E118}"/>
    <cellStyle name="0.0% 3 4" xfId="777" xr:uid="{0C2164CD-51E6-41FA-B49C-6845F6EE7C4F}"/>
    <cellStyle name="0.0% 3 5" xfId="778" xr:uid="{FB628F29-4FA9-4276-A69A-FBE6DAF94A34}"/>
    <cellStyle name="0.0% 3 6" xfId="779" xr:uid="{3F7F1484-110D-473C-9B0A-5D9EDA3BC4E0}"/>
    <cellStyle name="0.0% 3 7" xfId="780" xr:uid="{CC80172D-4340-43E8-B68C-5D9A5165AD87}"/>
    <cellStyle name="0.0% 3 8" xfId="781" xr:uid="{80ED6A6A-0499-4EC6-87E8-C4CEA13ED13B}"/>
    <cellStyle name="0.0% 4" xfId="782" xr:uid="{ED79F727-66CB-4B39-A7E3-97C67A403EDA}"/>
    <cellStyle name="0.0% 4 2" xfId="783" xr:uid="{48D0E4BA-49E4-45CA-A521-A245E99550F4}"/>
    <cellStyle name="0.0% 4 3" xfId="784" xr:uid="{CFBB11ED-4EDF-4DFB-90DC-EACEA17EB38F}"/>
    <cellStyle name="0.0% 4 4" xfId="785" xr:uid="{7E99A720-3C88-4B0F-9DC6-A043DBF14BD7}"/>
    <cellStyle name="0.0% 4 5" xfId="786" xr:uid="{3465B123-6B75-4BE8-A6A7-FC8704EB3316}"/>
    <cellStyle name="0.0% 4 6" xfId="787" xr:uid="{029571A1-08BA-4FDC-8C41-410FDAB365EA}"/>
    <cellStyle name="0.0% 4 7" xfId="788" xr:uid="{B42EC1D3-C7D8-493C-BE09-1DE2549A3ABD}"/>
    <cellStyle name="0.0% 4 8" xfId="789" xr:uid="{04F05E99-518F-4F4B-9E09-848F5169F7C8}"/>
    <cellStyle name="01/01/83" xfId="790" xr:uid="{657FB52D-9242-4F8F-8C40-AAEEA4942335}"/>
    <cellStyle name="01/01/83 2" xfId="791" xr:uid="{D9B07B24-83D9-4E72-81C2-5ED744A32E5A}"/>
    <cellStyle name="01/01/83 2 2" xfId="792" xr:uid="{7F7624DA-AAE8-4E29-A8DD-D17DA4B2E55E}"/>
    <cellStyle name="01/01/83 2 2 2" xfId="4002" xr:uid="{3240D20F-C9E1-4195-8EFA-4520025229B6}"/>
    <cellStyle name="01/01/83 2 3" xfId="793" xr:uid="{B844E932-BEC2-4F36-A098-30386B486715}"/>
    <cellStyle name="01/01/83 2 3 2" xfId="4003" xr:uid="{53FEE71F-E619-466F-9E32-9F73BF01185A}"/>
    <cellStyle name="01/01/83 2 4" xfId="794" xr:uid="{AF47A6FA-DEB3-4DDC-8A78-3F0DF4CB6158}"/>
    <cellStyle name="01/01/83 2 4 2" xfId="4004" xr:uid="{2E31C961-ED43-492C-8FF2-104C68DC9A20}"/>
    <cellStyle name="01/01/83 2 5" xfId="795" xr:uid="{0E8A9594-1D31-4394-B54B-DA0ABFB1BE46}"/>
    <cellStyle name="01/01/83 2 5 2" xfId="4005" xr:uid="{2064C803-2187-4650-B9AF-03222FE6FAC9}"/>
    <cellStyle name="01/01/83 2 6" xfId="796" xr:uid="{BF32CCF6-8571-4BC8-8816-0DF081278A80}"/>
    <cellStyle name="01/01/83 2 6 2" xfId="4006" xr:uid="{CB8152EB-B9D3-4247-9B3C-5190D2DE1302}"/>
    <cellStyle name="01/01/83 2 7" xfId="797" xr:uid="{308EC899-E5CB-428B-980B-50E443653D3C}"/>
    <cellStyle name="01/01/83 2 8" xfId="798" xr:uid="{55B7ABB7-452C-4404-A7FE-BA4B7A108103}"/>
    <cellStyle name="01/01/83 2_ActiFijos" xfId="799" xr:uid="{623FCEA3-68C4-4B9A-BE45-85D00B4E1DBE}"/>
    <cellStyle name="01/01/83 3" xfId="800" xr:uid="{0AD99D91-FB3D-4FFF-A5F2-76E671DBFF23}"/>
    <cellStyle name="01/01/83 3 2" xfId="801" xr:uid="{F4D3E3DE-06CD-4748-84FD-D754A058054D}"/>
    <cellStyle name="01/01/83 3 2 2" xfId="4007" xr:uid="{B0BF1935-B2D6-41C8-9826-BC4B20ED93F7}"/>
    <cellStyle name="01/01/83 3 3" xfId="802" xr:uid="{82DB7286-DCBF-4EB8-B5BD-F76622DF785D}"/>
    <cellStyle name="01/01/83 3 3 2" xfId="4008" xr:uid="{C28F610E-0297-4386-9347-E0E512410A13}"/>
    <cellStyle name="01/01/83 3 4" xfId="803" xr:uid="{D7465655-8291-418C-9787-D7F3D21E1F52}"/>
    <cellStyle name="01/01/83 3 4 2" xfId="4009" xr:uid="{4ADB384A-C0AE-4911-A8F2-DCAC802FDA10}"/>
    <cellStyle name="01/01/83 3 5" xfId="804" xr:uid="{9282E404-709B-4A2C-B70E-CF09E3EED740}"/>
    <cellStyle name="01/01/83 3 5 2" xfId="4010" xr:uid="{38CAE889-98FD-4501-8EF9-6CE09A5CE19F}"/>
    <cellStyle name="01/01/83 3 6" xfId="805" xr:uid="{5C529E33-A2AC-4693-BAA3-76295D63C3AE}"/>
    <cellStyle name="01/01/83 3 6 2" xfId="4011" xr:uid="{48DBD201-C497-44E3-96B5-ED8535C2B46D}"/>
    <cellStyle name="01/01/83 3 7" xfId="806" xr:uid="{500FC9A9-A4A7-4783-8462-C34FD76B3B16}"/>
    <cellStyle name="01/01/83 3 8" xfId="807" xr:uid="{16D1272F-F9D5-4AB1-B7E6-A1B2744ADD71}"/>
    <cellStyle name="01/01/83 3_ActiFijos" xfId="808" xr:uid="{6B62C69C-7108-4B73-8EAA-B7EEDE1657BA}"/>
    <cellStyle name="01/01/83 4" xfId="809" xr:uid="{D4BC8EE0-C906-4988-B00C-CFD15DAEE2CC}"/>
    <cellStyle name="01/01/83 4 2" xfId="810" xr:uid="{D97C3589-F236-43B6-A14A-E36285D964EF}"/>
    <cellStyle name="01/01/83 4 2 2" xfId="4012" xr:uid="{E61D8959-34B7-4E54-9D9A-43669E680790}"/>
    <cellStyle name="01/01/83 4 3" xfId="811" xr:uid="{52DF7516-E3E3-40F9-B6B8-BAB14665D15C}"/>
    <cellStyle name="01/01/83 4 3 2" xfId="4013" xr:uid="{B6211935-9BE1-41FA-83A4-D59DBA502E82}"/>
    <cellStyle name="01/01/83 4 4" xfId="812" xr:uid="{D4D6F3CA-4FFA-4353-9316-B72A7415EA6B}"/>
    <cellStyle name="01/01/83 4 4 2" xfId="4014" xr:uid="{8A294120-B499-4D50-8E2D-B4F919193AB3}"/>
    <cellStyle name="01/01/83 4 5" xfId="813" xr:uid="{BD14AD3F-DFFE-4E9B-9318-C62D317F870E}"/>
    <cellStyle name="01/01/83 4 5 2" xfId="4015" xr:uid="{FA1B7C92-7A86-42FE-8164-AC0A1CF56947}"/>
    <cellStyle name="01/01/83 4 6" xfId="814" xr:uid="{AF5BEACB-2F5A-4A0C-93D2-45FFF5DCD16A}"/>
    <cellStyle name="01/01/83 4 6 2" xfId="4016" xr:uid="{AB6E15B2-5A37-4BA9-86F1-BA2653283ABD}"/>
    <cellStyle name="01/01/83 4 7" xfId="815" xr:uid="{18054703-EF9C-442D-9C51-2049F159AA9B}"/>
    <cellStyle name="01/01/83 4 8" xfId="816" xr:uid="{AFCB14FD-6DFD-4DFE-96BC-E6EA4A99774C}"/>
    <cellStyle name="01/01/83 4_ActiFijos" xfId="817" xr:uid="{E92CD9FA-006B-4E88-802B-5805A4FF7A1F}"/>
    <cellStyle name="01/01/83 5" xfId="4017" xr:uid="{F963758C-5A03-47ED-BC8C-570F81C03D83}"/>
    <cellStyle name="01/01/83_Bases_Generales" xfId="818" xr:uid="{B787450B-FBFD-4EEB-AD7F-35195F2208FC}"/>
    <cellStyle name="20% - Ênfase1" xfId="819" xr:uid="{241E0ABA-02B2-4BEB-B913-80CCDF069959}"/>
    <cellStyle name="20% - Ênfase2" xfId="820" xr:uid="{D56A3A29-1B5A-4807-8E3C-67FA13DF30E1}"/>
    <cellStyle name="20% - Ênfase3" xfId="821" xr:uid="{D7EC8473-026D-49B3-9231-AF20AA70DBA5}"/>
    <cellStyle name="20% - Ênfase4" xfId="822" xr:uid="{5443BFE4-5278-4FC5-98D9-B18799958582}"/>
    <cellStyle name="20% - Ênfase5" xfId="823" xr:uid="{8A817797-116E-4828-AFF8-EACC4B545372}"/>
    <cellStyle name="20% - Ênfase6" xfId="824" xr:uid="{9166B7E2-46C9-4DB4-84CA-8FFC28E4AE7B}"/>
    <cellStyle name="20% - Énfasis1 10" xfId="4018" xr:uid="{75ACA4FE-A6FF-499B-9FE3-4E92D14F76FF}"/>
    <cellStyle name="20% - Énfasis1 10 2" xfId="4019" xr:uid="{B7EF06F6-4452-4B1C-B6DB-7E211DCF430B}"/>
    <cellStyle name="20% - Énfasis1 11" xfId="4020" xr:uid="{3DC91435-42AC-486B-B143-ABE5A8073430}"/>
    <cellStyle name="20% - Énfasis1 11 2" xfId="4021" xr:uid="{104E173B-E071-4BC5-8031-2F670E7BE1AD}"/>
    <cellStyle name="20% - Énfasis1 12" xfId="4022" xr:uid="{E7AC7F97-0492-49DD-8AF1-38DA6BB2C690}"/>
    <cellStyle name="20% - Énfasis1 12 2" xfId="4023" xr:uid="{043F302E-F8A6-4119-8A54-970EFBB70069}"/>
    <cellStyle name="20% - Énfasis1 13" xfId="4024" xr:uid="{44FEACE8-698F-4C4A-B47A-B33012EB8769}"/>
    <cellStyle name="20% - Énfasis1 13 2" xfId="4025" xr:uid="{F8E0074F-F638-450E-BEC3-2BCF543ACBE1}"/>
    <cellStyle name="20% - Énfasis1 14" xfId="4026" xr:uid="{7F026D5C-1537-4B0D-84CC-0C552837CE1E}"/>
    <cellStyle name="20% - Énfasis1 14 2" xfId="4027" xr:uid="{177BB7DE-85E2-4EE4-8A9B-96A876108CD8}"/>
    <cellStyle name="20% - Énfasis1 15" xfId="4028" xr:uid="{59448140-15EF-46A9-B0B5-FEA869387163}"/>
    <cellStyle name="20% - Énfasis1 15 2" xfId="4029" xr:uid="{7A01053B-DE2A-4E2C-A6B8-2D8D236F1DBF}"/>
    <cellStyle name="20% - Énfasis1 16" xfId="4030" xr:uid="{F1E04226-34DA-4CC8-B36B-4557B345702B}"/>
    <cellStyle name="20% - Énfasis1 16 2" xfId="4031" xr:uid="{895C371F-636D-49A0-B684-FC3246796D96}"/>
    <cellStyle name="20% - Énfasis1 17" xfId="4032" xr:uid="{AC4AA417-F6E8-4FFC-83DE-07528B965B61}"/>
    <cellStyle name="20% - Énfasis1 17 2" xfId="4033" xr:uid="{9A42BDD8-6F6F-4AE0-99B4-F7F44605CDDC}"/>
    <cellStyle name="20% - Énfasis1 18" xfId="4034" xr:uid="{D0838688-659B-414E-B2C4-4A2E6B7810B4}"/>
    <cellStyle name="20% - Énfasis1 18 2" xfId="4035" xr:uid="{7321C255-24DB-4031-A0E5-24CB4D9ECDC5}"/>
    <cellStyle name="20% - Énfasis1 19" xfId="4036" xr:uid="{514C9DF8-A192-41C5-8F1B-240580C45343}"/>
    <cellStyle name="20% - Énfasis1 19 2" xfId="4037" xr:uid="{87F9F27E-6BD3-43A0-8094-53A5637B0B74}"/>
    <cellStyle name="20% - Énfasis1 2" xfId="825" xr:uid="{DCB3FF47-2013-45B6-8699-BA070D36E8A1}"/>
    <cellStyle name="20% - Énfasis1 2 2" xfId="826" xr:uid="{AC8144CD-13D0-4EDB-91C1-7D16648097E6}"/>
    <cellStyle name="20% - Énfasis1 2 2 2" xfId="827" xr:uid="{B654BC55-F170-4CFE-99E7-478E063B50AC}"/>
    <cellStyle name="20% - Énfasis1 2 2 3" xfId="828" xr:uid="{5A0035D7-117B-4899-A93F-520435FF770D}"/>
    <cellStyle name="20% - Énfasis1 2 2_Deuda septiembre_marcos" xfId="829" xr:uid="{723C032D-570C-42E6-BFB5-642052A562B7}"/>
    <cellStyle name="20% - Énfasis1 2 3" xfId="830" xr:uid="{CD130009-DFFB-4DDB-B107-D0A39203CE69}"/>
    <cellStyle name="20% - Énfasis1 2 3 2" xfId="831" xr:uid="{468AD6FE-E9FB-4423-A70B-B257CE9376C5}"/>
    <cellStyle name="20% - Énfasis1 2 3 3" xfId="832" xr:uid="{6CEC5B24-537F-484B-B75D-965DABBC3410}"/>
    <cellStyle name="20% - Énfasis1 2 3_Deuda septiembre_marcos" xfId="833" xr:uid="{1C91CCD2-6627-4DBC-8961-B5D92BAF8E83}"/>
    <cellStyle name="20% - Énfasis1 2 4" xfId="834" xr:uid="{D6BE6785-420C-4F21-8EC4-EF8923D8BB34}"/>
    <cellStyle name="20% - Énfasis1 2 5" xfId="835" xr:uid="{AEFCE3D7-4A50-4369-839B-B04578CC8236}"/>
    <cellStyle name="20% - Énfasis1 2 5 2" xfId="4038" xr:uid="{2B8A47DE-25F9-4CA1-9F0E-CD464344584E}"/>
    <cellStyle name="20% - Énfasis1 2 6" xfId="4039" xr:uid="{46EFD39E-F49B-4790-851F-DBECD0A8745D}"/>
    <cellStyle name="20% - Énfasis1 2 7" xfId="4040" xr:uid="{A4914D95-8AD8-4DB1-9AC2-E4A7F3F4B90B}"/>
    <cellStyle name="20% - Énfasis1 2_Deuda septiembre_marcos" xfId="836" xr:uid="{280DB0AA-2BF7-4A89-90B2-985C67C0D001}"/>
    <cellStyle name="20% - Énfasis1 20" xfId="4041" xr:uid="{3C554947-8AB6-4AFC-950C-5FCEB5D53E1B}"/>
    <cellStyle name="20% - Énfasis1 3" xfId="837" xr:uid="{A74845AA-C494-4E7E-BBF3-F0A826FF3B67}"/>
    <cellStyle name="20% - Énfasis1 3 2" xfId="838" xr:uid="{D8B5078F-FD45-47FC-BA87-1B878A2CDDE5}"/>
    <cellStyle name="20% - Énfasis1 3 2 2" xfId="839" xr:uid="{8C059EE5-14F4-43F8-8F65-CCD7029D4BAC}"/>
    <cellStyle name="20% - Énfasis1 3 2 3" xfId="840" xr:uid="{248764E4-6E7C-4F95-BCD7-8574C682D9A7}"/>
    <cellStyle name="20% - Énfasis1 3 2_Deuda septiembre_marcos" xfId="841" xr:uid="{C62B8955-29DF-48F2-A91B-2C99784F1A34}"/>
    <cellStyle name="20% - Énfasis1 3 3" xfId="842" xr:uid="{205982CC-8AD2-4946-82F3-911CCB91B9C7}"/>
    <cellStyle name="20% - Énfasis1 3 3 2" xfId="843" xr:uid="{6942E1AF-7B7B-49C7-945C-DCFAFA899EA3}"/>
    <cellStyle name="20% - Énfasis1 3 3 3" xfId="844" xr:uid="{5B96E614-511C-4B5B-8BA1-636BE3F286D6}"/>
    <cellStyle name="20% - Énfasis1 3 3_Deuda septiembre_marcos" xfId="845" xr:uid="{466C4A66-C1BA-42EB-BA9C-C8E45DE53996}"/>
    <cellStyle name="20% - Énfasis1 3 4" xfId="846" xr:uid="{DCE1B719-D42A-43BD-A6F6-53BCE319F3A8}"/>
    <cellStyle name="20% - Énfasis1 3 5" xfId="847" xr:uid="{5E932B59-0687-4066-AC10-71D44D1885E5}"/>
    <cellStyle name="20% - Énfasis1 3_Deuda septiembre_marcos" xfId="848" xr:uid="{1318D1C7-62D6-47CB-90A2-B5C8415162EA}"/>
    <cellStyle name="20% - Énfasis1 4" xfId="849" xr:uid="{45D83E8B-DB0E-44CE-B5AF-41BE1B9EAC5F}"/>
    <cellStyle name="20% - Énfasis1 4 2" xfId="850" xr:uid="{9AE626EE-E35D-4DEE-95B5-BC3EB6462FD7}"/>
    <cellStyle name="20% - Énfasis1 4 2 2" xfId="851" xr:uid="{0927FA99-D64D-4D40-A22E-59D6C299DD1B}"/>
    <cellStyle name="20% - Énfasis1 4 2 3" xfId="852" xr:uid="{E30EDE26-8966-40E2-A9AB-23C4ABD048E1}"/>
    <cellStyle name="20% - Énfasis1 4 2_Deuda septiembre_marcos" xfId="853" xr:uid="{9A79BC7F-AB45-4826-BFBC-ED3F04A3FE41}"/>
    <cellStyle name="20% - Énfasis1 4 3" xfId="854" xr:uid="{8F28C7BA-C3A4-484A-A458-76073809A091}"/>
    <cellStyle name="20% - Énfasis1 4 3 2" xfId="855" xr:uid="{5FAE9CC6-07D9-42EA-A5A6-EB7E1AB0684B}"/>
    <cellStyle name="20% - Énfasis1 4 3 3" xfId="856" xr:uid="{931F2C29-B18A-46E0-84F6-777D7DA7933F}"/>
    <cellStyle name="20% - Énfasis1 4 3_Deuda septiembre_marcos" xfId="857" xr:uid="{822B0EB9-BB57-4721-B1A0-7751CDFA15B8}"/>
    <cellStyle name="20% - Énfasis1 4 4" xfId="858" xr:uid="{BEACD07E-8248-4E16-B450-6FA33F2A07E3}"/>
    <cellStyle name="20% - Énfasis1 4 5" xfId="859" xr:uid="{CAA86121-ECDC-463A-9A47-167501E11BC8}"/>
    <cellStyle name="20% - Énfasis1 4_Deuda septiembre_marcos" xfId="860" xr:uid="{37E88C77-FB7A-422A-9A28-5421DF9D852B}"/>
    <cellStyle name="20% - Énfasis1 5" xfId="861" xr:uid="{86675FCC-377F-4A9C-9D3D-3A50EF8DCCE8}"/>
    <cellStyle name="20% - Énfasis1 5 2" xfId="862" xr:uid="{3CED73E5-E2F7-4601-B9FC-0BAC49131531}"/>
    <cellStyle name="20% - Énfasis1 5_Deuda septiembre_marcos" xfId="863" xr:uid="{8EF757B0-94E0-4B44-8B26-EE5B30479BED}"/>
    <cellStyle name="20% - Énfasis1 6" xfId="864" xr:uid="{7D33772B-A122-4F3D-8074-F3A2B298D945}"/>
    <cellStyle name="20% - Énfasis1 6 2" xfId="865" xr:uid="{2F32913E-0A8B-47DC-B0DD-06DDC6A4C82F}"/>
    <cellStyle name="20% - Énfasis1 6_Deuda septiembre_marcos" xfId="866" xr:uid="{18605D90-B6A1-4DC7-AC9D-4BD3B869B600}"/>
    <cellStyle name="20% - Énfasis1 7" xfId="867" xr:uid="{49FCD347-13A4-45DB-AE40-381C52BFD1CD}"/>
    <cellStyle name="20% - Énfasis1 7 2" xfId="4042" xr:uid="{0DCE2AE5-EE43-40B8-9FB5-2D76A65525E2}"/>
    <cellStyle name="20% - Énfasis1 7 3" xfId="4043" xr:uid="{724439C8-E6B4-4861-A102-284EA184A16E}"/>
    <cellStyle name="20% - Énfasis1 8" xfId="4044" xr:uid="{0C013340-A00B-4C67-B2FF-CD71F7EC8C05}"/>
    <cellStyle name="20% - Énfasis1 8 2" xfId="4045" xr:uid="{5E4BF1DA-1157-4A74-9C26-117E4A104271}"/>
    <cellStyle name="20% - Énfasis1 8 3" xfId="4046" xr:uid="{4424ADC7-B43A-4061-8E49-6839489C6241}"/>
    <cellStyle name="20% - Énfasis1 9" xfId="4047" xr:uid="{541FD906-223B-48B5-8CB2-2B441873F89B}"/>
    <cellStyle name="20% - Énfasis1 9 2" xfId="4048" xr:uid="{01B9CB81-476A-407D-A729-94E7833E7001}"/>
    <cellStyle name="20% - Énfasis2 10" xfId="4049" xr:uid="{B7A54E5A-590A-455F-9455-B490FA3D747D}"/>
    <cellStyle name="20% - Énfasis2 10 2" xfId="4050" xr:uid="{675CD9D7-2B11-4F35-84F9-3A816CA379AA}"/>
    <cellStyle name="20% - Énfasis2 11" xfId="4051" xr:uid="{829D2ADC-0D15-4DFE-A8B9-D162D0E785B7}"/>
    <cellStyle name="20% - Énfasis2 11 2" xfId="4052" xr:uid="{85886930-FFFC-4FF0-B6D7-5D640F63D101}"/>
    <cellStyle name="20% - Énfasis2 12" xfId="4053" xr:uid="{68F96D21-EB46-41B1-B095-87A9B9B583D3}"/>
    <cellStyle name="20% - Énfasis2 12 2" xfId="4054" xr:uid="{0525DF18-BD4C-4B19-A6E6-3E5B79BAE23D}"/>
    <cellStyle name="20% - Énfasis2 13" xfId="4055" xr:uid="{5469DCA1-575F-4150-8D2A-59085C470AF9}"/>
    <cellStyle name="20% - Énfasis2 13 2" xfId="4056" xr:uid="{2E42F8EB-4E4A-43D2-8D02-34B9A679E425}"/>
    <cellStyle name="20% - Énfasis2 14" xfId="4057" xr:uid="{2E77AC3B-3E0E-4B99-86FE-820820FCF872}"/>
    <cellStyle name="20% - Énfasis2 14 2" xfId="4058" xr:uid="{00A9AE07-90F4-4CDB-8EBC-6F6F7DEAC540}"/>
    <cellStyle name="20% - Énfasis2 15" xfId="4059" xr:uid="{E44D484F-AC96-49D7-A1F5-69E097E7A363}"/>
    <cellStyle name="20% - Énfasis2 2" xfId="868" xr:uid="{C12F6D0C-5267-4C48-BD18-EADF4E088EAC}"/>
    <cellStyle name="20% - Énfasis2 2 2" xfId="4060" xr:uid="{6431197D-0178-4609-ADEF-667CC8D6623F}"/>
    <cellStyle name="20% - Énfasis2 2 2 2" xfId="4061" xr:uid="{C2AAFDE2-D2C6-4CD6-87EF-B6D998B6B43D}"/>
    <cellStyle name="20% - Énfasis2 2 3" xfId="4062" xr:uid="{CADB19A0-478F-479D-A9C1-87DAD3A335B3}"/>
    <cellStyle name="20% - Énfasis2 2 3 2" xfId="4063" xr:uid="{15AAA301-C14F-4C86-98A5-A7F26DC0065A}"/>
    <cellStyle name="20% - Énfasis2 2 4" xfId="4064" xr:uid="{2285B204-0599-4BFC-9018-E2962B9E7CB4}"/>
    <cellStyle name="20% - Énfasis2 2 5" xfId="4065" xr:uid="{8BDF00B4-5A9D-490F-A0CF-AC93F6A1ECCC}"/>
    <cellStyle name="20% - Énfasis2 3" xfId="3310" xr:uid="{F56FA2D4-20E8-49C3-A038-2859F6303703}"/>
    <cellStyle name="20% - Énfasis2 3 2" xfId="4066" xr:uid="{71E792B8-565C-41C0-A630-B8E981B73E22}"/>
    <cellStyle name="20% - Énfasis2 3 3" xfId="4067" xr:uid="{167E7B59-D0A6-456D-8DC2-06672D02CED9}"/>
    <cellStyle name="20% - Énfasis2 3 4" xfId="4068" xr:uid="{EE34FE98-859C-4450-AE56-6214C013BA81}"/>
    <cellStyle name="20% - Énfasis2 4" xfId="4069" xr:uid="{F28762D0-E213-4161-A5FE-F55671202454}"/>
    <cellStyle name="20% - Énfasis2 4 2" xfId="4070" xr:uid="{B4EF355D-6AAF-4017-8689-F3E883B35627}"/>
    <cellStyle name="20% - Énfasis2 4 3" xfId="4071" xr:uid="{2ED8A56C-A162-456C-B409-746E9C0FE015}"/>
    <cellStyle name="20% - Énfasis2 5" xfId="4072" xr:uid="{96AF00C6-63DD-4814-AB31-C04BABFE7BAC}"/>
    <cellStyle name="20% - Énfasis2 5 2" xfId="4073" xr:uid="{58F88681-B4C3-48E8-B4C2-6D89663CC77F}"/>
    <cellStyle name="20% - Énfasis2 6" xfId="4074" xr:uid="{3B6469C3-ADC0-4442-A431-8AE24422139F}"/>
    <cellStyle name="20% - Énfasis2 6 2" xfId="4075" xr:uid="{E1F89FFF-A692-4D54-A6E1-78115C7E6230}"/>
    <cellStyle name="20% - Énfasis2 7" xfId="4076" xr:uid="{A73F9B5A-0CEE-4FB2-AE8E-E1FEC721F662}"/>
    <cellStyle name="20% - Énfasis2 7 2" xfId="4077" xr:uid="{41FFD79D-F1D6-4DDD-8293-32FAC9CB1981}"/>
    <cellStyle name="20% - Énfasis2 8" xfId="4078" xr:uid="{90418884-9A33-4184-9CD2-F421A6D26E12}"/>
    <cellStyle name="20% - Énfasis2 8 2" xfId="4079" xr:uid="{131A45EE-F64F-4095-A0F8-FE4860D979D2}"/>
    <cellStyle name="20% - Énfasis2 9" xfId="4080" xr:uid="{0B38A4A5-1404-43C5-A037-C89347503AEB}"/>
    <cellStyle name="20% - Énfasis2 9 2" xfId="4081" xr:uid="{38603F09-727C-45B8-A276-32AB59CE18DA}"/>
    <cellStyle name="20% - Énfasis3 10" xfId="4082" xr:uid="{677198DB-5469-4C79-8F02-4BB7D0CA5C50}"/>
    <cellStyle name="20% - Énfasis3 10 2" xfId="4083" xr:uid="{BC972D03-EF39-4BBC-9C18-8CBB2D085698}"/>
    <cellStyle name="20% - Énfasis3 11" xfId="4084" xr:uid="{A2ECD7C8-89B6-4207-B964-52DE4D65564F}"/>
    <cellStyle name="20% - Énfasis3 11 2" xfId="4085" xr:uid="{EE6AD768-0F3E-4126-80ED-1F23A5CD77E2}"/>
    <cellStyle name="20% - Énfasis3 12" xfId="4086" xr:uid="{668C2D6B-0AFA-43E9-9363-64AC52BEEE3A}"/>
    <cellStyle name="20% - Énfasis3 12 2" xfId="4087" xr:uid="{D2668CA4-BFB4-4696-9C2F-88C6F1DFD603}"/>
    <cellStyle name="20% - Énfasis3 13" xfId="4088" xr:uid="{648DF854-3502-4C89-81B3-ED9005AF7C79}"/>
    <cellStyle name="20% - Énfasis3 13 2" xfId="4089" xr:uid="{46CD8ECF-1CAB-4A8B-9821-F3CE6E38B1E6}"/>
    <cellStyle name="20% - Énfasis3 14" xfId="4090" xr:uid="{10556D79-366C-4DB3-8736-8AC48A2FE60F}"/>
    <cellStyle name="20% - Énfasis3 14 2" xfId="4091" xr:uid="{7F026444-7121-48C1-A032-D4BBB4E74139}"/>
    <cellStyle name="20% - Énfasis3 15" xfId="4092" xr:uid="{D2FECD14-B3AC-4412-8F00-DE2D8CFACA1E}"/>
    <cellStyle name="20% - Énfasis3 15 2" xfId="4093" xr:uid="{E5443B88-0A6B-4E90-8093-07791C6E3C2F}"/>
    <cellStyle name="20% - Énfasis3 16" xfId="4094" xr:uid="{62344660-51F1-402C-A478-829D5699568A}"/>
    <cellStyle name="20% - Énfasis3 2" xfId="869" xr:uid="{F947C5B8-948F-4328-9784-272DF0C8B781}"/>
    <cellStyle name="20% - Énfasis3 2 2" xfId="870" xr:uid="{E652B878-DF0E-4AF4-A31A-382C3BCC9434}"/>
    <cellStyle name="20% - Énfasis3 2 2 2" xfId="4095" xr:uid="{BE8A135D-D30C-474C-8E31-841EB7955924}"/>
    <cellStyle name="20% - Énfasis3 2 2 3" xfId="4096" xr:uid="{FB8BEB20-4564-4D26-813A-0E11350607FE}"/>
    <cellStyle name="20% - Énfasis3 2 2 4" xfId="4097" xr:uid="{42ED71AB-FE4F-4FAF-BEB0-CEA7BCCF683D}"/>
    <cellStyle name="20% - Énfasis3 2 2 4 2" xfId="4098" xr:uid="{E7D6274C-BC65-4A49-A8F1-08F4F945453E}"/>
    <cellStyle name="20% - Énfasis3 2 3" xfId="4099" xr:uid="{FBC6526F-EBDB-4E32-B279-8B5E25E11E73}"/>
    <cellStyle name="20% - Énfasis3 2 4" xfId="4100" xr:uid="{1D8BD547-B4BB-412B-995C-1AEE2DE508E8}"/>
    <cellStyle name="20% - Énfasis3 2 4 2" xfId="4101" xr:uid="{DE51E5A5-6008-4576-9643-6CDA1F4D5CAB}"/>
    <cellStyle name="20% - Énfasis3 2 5" xfId="4102" xr:uid="{DB846DFA-767F-40CD-8556-B3A8A57FDC9B}"/>
    <cellStyle name="20% - Énfasis3 2 6" xfId="4103" xr:uid="{53CD78C6-69FB-491E-87C6-DC47EF80392A}"/>
    <cellStyle name="20% - Énfasis3 2_Deuda septiembre_marcos" xfId="871" xr:uid="{9A49D5AB-1686-44B4-85F5-99662BA12BC2}"/>
    <cellStyle name="20% - Énfasis3 3" xfId="3311" xr:uid="{017B3B50-05E6-4BBA-9AB7-776D7135B839}"/>
    <cellStyle name="20% - Énfasis3 3 2" xfId="4104" xr:uid="{8775F1C5-D289-4D65-8ACD-DE865420775C}"/>
    <cellStyle name="20% - Énfasis3 3 3" xfId="4105" xr:uid="{ABF90135-6195-4741-8674-A3AB13F8BA8E}"/>
    <cellStyle name="20% - Énfasis3 3 4" xfId="4106" xr:uid="{44846B1E-1C7F-47A4-A17A-6ED705CE54AB}"/>
    <cellStyle name="20% - Énfasis3 4" xfId="4107" xr:uid="{83257231-DB56-4E7A-A6CD-75F196C1E347}"/>
    <cellStyle name="20% - Énfasis3 4 2" xfId="4108" xr:uid="{94FD0A90-D25D-4277-8864-52F13B7D9C27}"/>
    <cellStyle name="20% - Énfasis3 4 3" xfId="4109" xr:uid="{CE513AF1-6962-4610-B7DC-E326EAD226B4}"/>
    <cellStyle name="20% - Énfasis3 5" xfId="4110" xr:uid="{185A5C25-9797-4062-99B2-A05315918627}"/>
    <cellStyle name="20% - Énfasis3 5 2" xfId="4111" xr:uid="{1B4209C3-62EF-46B5-ABB0-6F159BB0F3DA}"/>
    <cellStyle name="20% - Énfasis3 6" xfId="4112" xr:uid="{B67B9A91-4476-40E5-A7E9-9EA793A927FD}"/>
    <cellStyle name="20% - Énfasis3 6 2" xfId="4113" xr:uid="{7D48EC54-5262-4942-9570-94C906FBCB95}"/>
    <cellStyle name="20% - Énfasis3 7" xfId="4114" xr:uid="{3FFA9890-CEFF-4AD8-A0F8-9C5905F79071}"/>
    <cellStyle name="20% - Énfasis3 7 2" xfId="4115" xr:uid="{7DF83B20-4480-4229-B7CF-B202981A69B2}"/>
    <cellStyle name="20% - Énfasis3 8" xfId="4116" xr:uid="{056E6641-3F72-4ABA-8EAE-6A738DE4C65A}"/>
    <cellStyle name="20% - Énfasis3 8 2" xfId="4117" xr:uid="{D6AA5566-AAE4-4E97-BA15-82176DF7E803}"/>
    <cellStyle name="20% - Énfasis3 9" xfId="4118" xr:uid="{DCA0247D-160D-4F11-B687-23DF4D2E66D9}"/>
    <cellStyle name="20% - Énfasis3 9 2" xfId="4119" xr:uid="{2DFFA069-38AA-4550-829C-5EF86EC2C415}"/>
    <cellStyle name="20% - Énfasis4 10" xfId="4120" xr:uid="{817C5354-7389-418B-9C4C-3E4CAE00F3B1}"/>
    <cellStyle name="20% - Énfasis4 10 2" xfId="4121" xr:uid="{8263FA55-8709-45CC-9470-DF8A617DB2D5}"/>
    <cellStyle name="20% - Énfasis4 11" xfId="4122" xr:uid="{0B875BA2-8262-4591-9A1A-1EE3D0264B84}"/>
    <cellStyle name="20% - Énfasis4 11 2" xfId="4123" xr:uid="{D9BBC0BC-79DF-49E0-A0C9-FE50B1204209}"/>
    <cellStyle name="20% - Énfasis4 12" xfId="4124" xr:uid="{A091F675-F5D6-4E1E-BE6C-FBAF11563BB3}"/>
    <cellStyle name="20% - Énfasis4 12 2" xfId="4125" xr:uid="{B4D005AA-1FA8-4424-AD51-CB4A2ACB371C}"/>
    <cellStyle name="20% - Énfasis4 13" xfId="4126" xr:uid="{A555CDC5-8D76-44E3-A22F-6E9C4362AD2B}"/>
    <cellStyle name="20% - Énfasis4 13 2" xfId="4127" xr:uid="{DC28310E-A726-4952-9CA7-C07744670E94}"/>
    <cellStyle name="20% - Énfasis4 14" xfId="4128" xr:uid="{58C50151-CE0C-491D-B8B9-CBD40D3CC7A3}"/>
    <cellStyle name="20% - Énfasis4 14 2" xfId="4129" xr:uid="{D2AAC497-4953-48D0-A53E-E1861D6E2BE5}"/>
    <cellStyle name="20% - Énfasis4 15" xfId="4130" xr:uid="{AF2D9530-CD97-44C5-AEA5-5505EF00B291}"/>
    <cellStyle name="20% - Énfasis4 15 2" xfId="4131" xr:uid="{C44CFD92-231D-4E7D-9452-17A0CDB164D8}"/>
    <cellStyle name="20% - Énfasis4 16" xfId="4132" xr:uid="{113578B4-C828-46FC-B209-962F46984600}"/>
    <cellStyle name="20% - Énfasis4 16 2" xfId="4133" xr:uid="{D16483CA-68F5-47B6-884D-8D05095CF615}"/>
    <cellStyle name="20% - Énfasis4 17" xfId="4134" xr:uid="{A2D56657-3C67-4B12-B930-8F03B87C23A9}"/>
    <cellStyle name="20% - Énfasis4 2" xfId="872" xr:uid="{8D4713DB-E480-420E-8E38-BBF72DB8BAF5}"/>
    <cellStyle name="20% - Énfasis4 2 2" xfId="873" xr:uid="{FC7CFE4A-A223-40C2-B95C-44D9446C78D5}"/>
    <cellStyle name="20% - Énfasis4 2 2 2" xfId="4135" xr:uid="{026E7CDD-E4AD-4BB7-8434-F2F4CDB57903}"/>
    <cellStyle name="20% - Énfasis4 2 2 3" xfId="4136" xr:uid="{0298BF39-AC0B-4AE1-87CC-19EEF1A8E274}"/>
    <cellStyle name="20% - Énfasis4 2 2 4" xfId="4137" xr:uid="{A9F5262A-81B5-4088-ADFA-4DFE983D0880}"/>
    <cellStyle name="20% - Énfasis4 2 2 4 2" xfId="4138" xr:uid="{F8D28C33-64B4-4404-9379-940843382D7E}"/>
    <cellStyle name="20% - Énfasis4 2 3" xfId="4139" xr:uid="{0923BF39-A296-4229-9D75-F3F411129C2B}"/>
    <cellStyle name="20% - Énfasis4 2 4" xfId="4140" xr:uid="{4CE9EA7D-312C-493C-9887-B0C4A3B80052}"/>
    <cellStyle name="20% - Énfasis4 2 4 2" xfId="4141" xr:uid="{EC2B71BB-FA6F-4A98-8CF1-7F0AAC08E28F}"/>
    <cellStyle name="20% - Énfasis4 2 5" xfId="4142" xr:uid="{1A3BEF80-2F33-45AA-B3F3-61F8D88C3A3B}"/>
    <cellStyle name="20% - Énfasis4 2 6" xfId="4143" xr:uid="{BFFDBB0A-2EC1-4665-9392-388B817C7E6B}"/>
    <cellStyle name="20% - Énfasis4 2_Deuda septiembre_marcos" xfId="874" xr:uid="{43506504-C826-448E-8EE2-9A8518141874}"/>
    <cellStyle name="20% - Énfasis4 3" xfId="875" xr:uid="{3E114851-3778-4603-A463-4F2D01313DDD}"/>
    <cellStyle name="20% - Énfasis4 3 2" xfId="876" xr:uid="{9997BE98-139A-467F-8BA8-4561243FF79E}"/>
    <cellStyle name="20% - Énfasis4 3_Deuda septiembre_marcos" xfId="877" xr:uid="{8987AAE1-1179-462E-9F2F-9DF832622041}"/>
    <cellStyle name="20% - Énfasis4 4" xfId="4144" xr:uid="{AE80C9E2-7B7D-40CA-A226-F61B90ADC399}"/>
    <cellStyle name="20% - Énfasis4 4 2" xfId="4145" xr:uid="{B8A8C787-94BD-4F52-9C2E-CCF83795816B}"/>
    <cellStyle name="20% - Énfasis4 4 3" xfId="4146" xr:uid="{79E9F7D0-DB7B-4674-89B6-C0A71560E495}"/>
    <cellStyle name="20% - Énfasis4 5" xfId="4147" xr:uid="{9CDD08B3-BB22-466B-A449-F84B532009B1}"/>
    <cellStyle name="20% - Énfasis4 5 2" xfId="4148" xr:uid="{D23C1759-5E67-4F04-8C8A-E646EB20546D}"/>
    <cellStyle name="20% - Énfasis4 5 3" xfId="4149" xr:uid="{AB0D7ED9-608A-4FF7-97B3-1A49FFBE07F3}"/>
    <cellStyle name="20% - Énfasis4 6" xfId="4150" xr:uid="{CA1CEC55-DFCC-48F7-8C6D-C992ACF96F55}"/>
    <cellStyle name="20% - Énfasis4 6 2" xfId="4151" xr:uid="{16C5A0DA-F41E-4BDF-9987-020C6C531F8A}"/>
    <cellStyle name="20% - Énfasis4 7" xfId="4152" xr:uid="{F70F3B3C-3471-4F16-AFF6-6D5857FBE771}"/>
    <cellStyle name="20% - Énfasis4 7 2" xfId="4153" xr:uid="{3E2555F6-B024-4CF6-8DBA-BFE41EDD5D57}"/>
    <cellStyle name="20% - Énfasis4 8" xfId="4154" xr:uid="{012E13B1-AF80-42D1-B38C-17368F3522C5}"/>
    <cellStyle name="20% - Énfasis4 8 2" xfId="4155" xr:uid="{299B5DB2-43FB-48F6-BA1E-2DFBC31ABE01}"/>
    <cellStyle name="20% - Énfasis4 9" xfId="4156" xr:uid="{E6156047-31F0-460F-93AE-C636E5EB2EA5}"/>
    <cellStyle name="20% - Énfasis4 9 2" xfId="4157" xr:uid="{D0DAFFA6-78B0-4094-BAE2-C03C2E564FF8}"/>
    <cellStyle name="20% - Énfasis5 10" xfId="4158" xr:uid="{35E8680B-E148-4663-A266-A188F28239FD}"/>
    <cellStyle name="20% - Énfasis5 10 2" xfId="4159" xr:uid="{7D1AF04D-B204-4544-B4D3-4EFF399BFE6A}"/>
    <cellStyle name="20% - Énfasis5 11" xfId="4160" xr:uid="{27C54A45-CF75-4AB0-A820-CBA4E11C66C7}"/>
    <cellStyle name="20% - Énfasis5 11 2" xfId="4161" xr:uid="{698DB698-3C79-4E61-A442-B6DDFD99B872}"/>
    <cellStyle name="20% - Énfasis5 12" xfId="4162" xr:uid="{06045643-D5B9-4578-A142-E1BCB9EDF33C}"/>
    <cellStyle name="20% - Énfasis5 12 2" xfId="4163" xr:uid="{283C347B-7817-40CC-B2C3-8906D955CD56}"/>
    <cellStyle name="20% - Énfasis5 13" xfId="4164" xr:uid="{D4F915FF-D445-4BB0-B2C5-8A53FE87DEBF}"/>
    <cellStyle name="20% - Énfasis5 13 2" xfId="4165" xr:uid="{05EE2E49-2D8C-4B4D-98E7-517A916476DE}"/>
    <cellStyle name="20% - Énfasis5 14" xfId="4166" xr:uid="{418C9CB9-3080-41D2-ACF9-752B9AED205D}"/>
    <cellStyle name="20% - Énfasis5 14 2" xfId="4167" xr:uid="{C1A6D46E-AA34-484F-829A-3F3520E46446}"/>
    <cellStyle name="20% - Énfasis5 15" xfId="4168" xr:uid="{C85BAFC7-A798-4754-89D5-8CE34743FE03}"/>
    <cellStyle name="20% - Énfasis5 15 2" xfId="4169" xr:uid="{061CF602-3B78-41DA-906E-F23B642F988D}"/>
    <cellStyle name="20% - Énfasis5 16" xfId="4170" xr:uid="{10DEA308-D495-48D9-84A3-3EED9FCD303E}"/>
    <cellStyle name="20% - Énfasis5 2" xfId="878" xr:uid="{235B8AAD-4A79-46BE-BA5E-35E0C91DD028}"/>
    <cellStyle name="20% - Énfasis5 2 2" xfId="879" xr:uid="{1FC47B45-0753-414D-94E8-01D618D39D58}"/>
    <cellStyle name="20% - Énfasis5 2 2 2" xfId="4171" xr:uid="{F5E5932C-013E-40AE-AE68-6265DB7FA62F}"/>
    <cellStyle name="20% - Énfasis5 2 2 3" xfId="4172" xr:uid="{AC169D03-2B59-4BE5-8348-C188280DB86C}"/>
    <cellStyle name="20% - Énfasis5 2 2 4" xfId="4173" xr:uid="{61F9B12C-AFD4-4C57-A049-EB3AAF584FC1}"/>
    <cellStyle name="20% - Énfasis5 2 2 4 2" xfId="4174" xr:uid="{39FC4923-E09C-4F62-A550-8BAB9A0076CB}"/>
    <cellStyle name="20% - Énfasis5 2 3" xfId="4175" xr:uid="{E51C769D-E284-4A5B-B9B6-EB340D139999}"/>
    <cellStyle name="20% - Énfasis5 2 4" xfId="4176" xr:uid="{5C0536C7-AAEE-4DF7-AE57-72AD92F41101}"/>
    <cellStyle name="20% - Énfasis5 2 4 2" xfId="4177" xr:uid="{0DB13101-2DB6-4DE3-98C1-4536884D6018}"/>
    <cellStyle name="20% - Énfasis5 2 5" xfId="4178" xr:uid="{22294EED-6774-46FC-B58C-CDDDE63F079B}"/>
    <cellStyle name="20% - Énfasis5 2 6" xfId="4179" xr:uid="{CD9A5F24-69FC-4FA6-8E71-994A6327DE19}"/>
    <cellStyle name="20% - Énfasis5 2_Deuda septiembre_marcos" xfId="880" xr:uid="{6B501B7A-6717-4C73-9AD3-D873D2567CE5}"/>
    <cellStyle name="20% - Énfasis5 3" xfId="3312" xr:uid="{65B08610-4EEB-4000-A30E-E78911C3D23B}"/>
    <cellStyle name="20% - Énfasis5 3 2" xfId="4180" xr:uid="{0E5E2948-39C6-4B9F-925A-C720A1AD7128}"/>
    <cellStyle name="20% - Énfasis5 3 3" xfId="4181" xr:uid="{796FAE2F-CEB4-4EAD-B8D9-21FF297B2191}"/>
    <cellStyle name="20% - Énfasis5 3 4" xfId="4182" xr:uid="{A4E0752D-10C8-4E0C-A8D8-43C065D45AAE}"/>
    <cellStyle name="20% - Énfasis5 4" xfId="4183" xr:uid="{03B4F924-35D7-48B3-AE89-6E4D2BE668E0}"/>
    <cellStyle name="20% - Énfasis5 4 2" xfId="4184" xr:uid="{A21F4626-807D-4158-ABC4-A421DE6BEF07}"/>
    <cellStyle name="20% - Énfasis5 4 3" xfId="4185" xr:uid="{3720DB6E-86E7-45B0-BB32-A919F6D423BE}"/>
    <cellStyle name="20% - Énfasis5 5" xfId="4186" xr:uid="{D4F46481-B041-4F6E-878A-22E3CB40F645}"/>
    <cellStyle name="20% - Énfasis5 5 2" xfId="4187" xr:uid="{57CD45E8-2B38-4BE5-B1AC-BB64E99B97EE}"/>
    <cellStyle name="20% - Énfasis5 6" xfId="4188" xr:uid="{2FD7FEC9-7452-46A2-BF89-0DED68A7EF17}"/>
    <cellStyle name="20% - Énfasis5 6 2" xfId="4189" xr:uid="{EB7D3A21-26F0-486A-8B07-E5B739866BF1}"/>
    <cellStyle name="20% - Énfasis5 7" xfId="4190" xr:uid="{25716064-B90C-4A57-A83E-D0039025E80A}"/>
    <cellStyle name="20% - Énfasis5 7 2" xfId="4191" xr:uid="{780AA358-7994-41A5-A96A-64E0B86A9C29}"/>
    <cellStyle name="20% - Énfasis5 8" xfId="4192" xr:uid="{ABA4A31E-41A8-4241-8D5A-649564432449}"/>
    <cellStyle name="20% - Énfasis5 8 2" xfId="4193" xr:uid="{FB690D48-5BE2-4B03-90C1-BA5130D9EDA4}"/>
    <cellStyle name="20% - Énfasis5 9" xfId="4194" xr:uid="{49A5B6DC-5133-4B10-92BD-08ECEEF2820D}"/>
    <cellStyle name="20% - Énfasis5 9 2" xfId="4195" xr:uid="{77149EF9-FF6E-485F-8DB0-B03F1C130A4E}"/>
    <cellStyle name="20% - Énfasis6 10" xfId="4196" xr:uid="{E0A1CB94-BC54-4280-A980-90EAD1271DB2}"/>
    <cellStyle name="20% - Énfasis6 10 2" xfId="4197" xr:uid="{20E7596B-146D-4A9D-8AB2-3ABF266A4910}"/>
    <cellStyle name="20% - Énfasis6 11" xfId="4198" xr:uid="{5177FD89-9D79-44C7-8326-B9E668AB9CD6}"/>
    <cellStyle name="20% - Énfasis6 11 2" xfId="4199" xr:uid="{79A2B741-C3DB-4699-8DA6-49741E5E1D2B}"/>
    <cellStyle name="20% - Énfasis6 12" xfId="4200" xr:uid="{87E77041-F725-4B4F-9AB9-E8C57FE6B1AB}"/>
    <cellStyle name="20% - Énfasis6 12 2" xfId="4201" xr:uid="{B0D033F3-5A07-440D-AFA8-42C67D772925}"/>
    <cellStyle name="20% - Énfasis6 13" xfId="4202" xr:uid="{7253F785-D434-4B4A-B883-48AE6BD24DE3}"/>
    <cellStyle name="20% - Énfasis6 13 2" xfId="4203" xr:uid="{0DE82A70-DE4F-43E7-8AF0-BC7931E0F509}"/>
    <cellStyle name="20% - Énfasis6 14" xfId="4204" xr:uid="{2328221F-67E2-41E4-A330-6D8A2950B69F}"/>
    <cellStyle name="20% - Énfasis6 14 2" xfId="4205" xr:uid="{9A3AB447-F579-4FED-AB52-9AF0145AD706}"/>
    <cellStyle name="20% - Énfasis6 15" xfId="4206" xr:uid="{C3F89C75-270F-4A6A-B0AC-AF0EE3ECD2AD}"/>
    <cellStyle name="20% - Énfasis6 15 2" xfId="4207" xr:uid="{1EA3C8D8-F9E7-4D1A-B26E-AFB7D6FB18CE}"/>
    <cellStyle name="20% - Énfasis6 16" xfId="4208" xr:uid="{487FB33C-0A21-450B-948F-A85CA5D514F7}"/>
    <cellStyle name="20% - Énfasis6 2" xfId="881" xr:uid="{685F98BF-7B94-4B8E-8054-0D4723B4BC1D}"/>
    <cellStyle name="20% - Énfasis6 2 2" xfId="882" xr:uid="{1AFBF6AB-D903-43F0-AE8F-EFD02CE9B773}"/>
    <cellStyle name="20% - Énfasis6 2 2 2" xfId="4209" xr:uid="{3D1F1C8A-95F4-41FB-8C09-6EE4B2D33EBD}"/>
    <cellStyle name="20% - Énfasis6 2 2 3" xfId="4210" xr:uid="{642F4107-6EE5-478B-AA1B-941C3C291F9B}"/>
    <cellStyle name="20% - Énfasis6 2 2 4" xfId="4211" xr:uid="{1C514093-F748-4FB7-9C15-615BE1641AB9}"/>
    <cellStyle name="20% - Énfasis6 2 2 4 2" xfId="4212" xr:uid="{F5DFFE89-9C4F-45D2-888E-53E97FF38CD1}"/>
    <cellStyle name="20% - Énfasis6 2 3" xfId="4213" xr:uid="{AA50C13B-4B07-461F-9F9A-4A0BD3BC80C3}"/>
    <cellStyle name="20% - Énfasis6 2 4" xfId="4214" xr:uid="{8E275D4A-1B36-4FF8-A828-F7E45D650371}"/>
    <cellStyle name="20% - Énfasis6 2 4 2" xfId="4215" xr:uid="{7BA82345-F218-4D4F-8DF3-A27DF2797F91}"/>
    <cellStyle name="20% - Énfasis6 2 5" xfId="4216" xr:uid="{0618FC04-F9C9-442D-B9A2-E2DC926B6CB1}"/>
    <cellStyle name="20% - Énfasis6 2 6" xfId="4217" xr:uid="{8E11A328-8F64-4093-8B39-392463ABAC77}"/>
    <cellStyle name="20% - Énfasis6 2_Deuda septiembre_marcos" xfId="883" xr:uid="{A4CB6F94-4CD5-40B0-B0D2-4D5400B70CD0}"/>
    <cellStyle name="20% - Énfasis6 3" xfId="3313" xr:uid="{3A463571-4FCE-4357-9EF6-DE962F6832D7}"/>
    <cellStyle name="20% - Énfasis6 3 2" xfId="4218" xr:uid="{C3744471-0624-40BC-ADCC-00CBC10B286F}"/>
    <cellStyle name="20% - Énfasis6 3 3" xfId="4219" xr:uid="{E64E942F-031A-4F7A-AA66-3CFE83326AB8}"/>
    <cellStyle name="20% - Énfasis6 3 4" xfId="4220" xr:uid="{C299CCE6-41BF-4426-AB63-14258F67E26A}"/>
    <cellStyle name="20% - Énfasis6 4" xfId="4221" xr:uid="{0FF184D2-BB20-499C-9292-6DE3DD69DE33}"/>
    <cellStyle name="20% - Énfasis6 4 2" xfId="4222" xr:uid="{A54B2546-1EB1-4360-85DC-4D23843370CB}"/>
    <cellStyle name="20% - Énfasis6 4 3" xfId="4223" xr:uid="{8CD091ED-5FB7-4583-8E86-56D55759626B}"/>
    <cellStyle name="20% - Énfasis6 5" xfId="4224" xr:uid="{CC0F6C2E-46A3-42C6-8405-EED717581B6C}"/>
    <cellStyle name="20% - Énfasis6 5 2" xfId="4225" xr:uid="{B26C6AD3-A223-4134-980A-171263B301E5}"/>
    <cellStyle name="20% - Énfasis6 6" xfId="4226" xr:uid="{05FC67E7-CA3E-4747-B693-9212AD17DBB5}"/>
    <cellStyle name="20% - Énfasis6 6 2" xfId="4227" xr:uid="{A7EF4477-3487-4F0E-8A27-1B34F3A34DFA}"/>
    <cellStyle name="20% - Énfasis6 7" xfId="4228" xr:uid="{45D108F2-3DA2-482F-9C89-72A2AF531B71}"/>
    <cellStyle name="20% - Énfasis6 7 2" xfId="4229" xr:uid="{43DA7B16-32C5-4542-97E9-C42B79821E23}"/>
    <cellStyle name="20% - Énfasis6 8" xfId="4230" xr:uid="{EBB51C5D-07F8-4044-8771-9B7985140475}"/>
    <cellStyle name="20% - Énfasis6 8 2" xfId="4231" xr:uid="{F2A46E21-2234-4E21-AF27-12B610ECE4E7}"/>
    <cellStyle name="20% - Énfasis6 9" xfId="4232" xr:uid="{E5BF0BE8-1285-478C-A73B-00131D8FDAE3}"/>
    <cellStyle name="20% - Énfasis6 9 2" xfId="4233" xr:uid="{98CB0F47-238D-478D-980A-E07E7FCBD926}"/>
    <cellStyle name="40% - Ênfase1" xfId="884" xr:uid="{BEFD3F2A-082F-43B0-92AE-1B80FA240E93}"/>
    <cellStyle name="40% - Ênfase2" xfId="885" xr:uid="{22B2F62A-FE5C-453B-A614-6F35F04240B3}"/>
    <cellStyle name="40% - Ênfase3" xfId="886" xr:uid="{78EE540B-9E81-40EB-9C6B-DDB7367D9439}"/>
    <cellStyle name="40% - Ênfase4" xfId="887" xr:uid="{490C4358-406A-4B04-97D4-ED2C19566C6C}"/>
    <cellStyle name="40% - Ênfase5" xfId="888" xr:uid="{0C458B09-1165-4B49-9312-AD1C3066C18E}"/>
    <cellStyle name="40% - Ênfase6" xfId="889" xr:uid="{06EB023D-BFE2-4034-AFAB-611677122A1F}"/>
    <cellStyle name="40% - Énfasis1 10" xfId="4234" xr:uid="{EC01425B-8161-45F9-8087-F4FAF3EB032A}"/>
    <cellStyle name="40% - Énfasis1 10 2" xfId="4235" xr:uid="{1612FC25-18C7-4CA8-96D7-F11F48F970DA}"/>
    <cellStyle name="40% - Énfasis1 11" xfId="4236" xr:uid="{53594E4F-378A-493E-AAB8-274E37842B7F}"/>
    <cellStyle name="40% - Énfasis1 11 2" xfId="4237" xr:uid="{61E25F80-D841-4F25-A8B8-518E41FD2D2C}"/>
    <cellStyle name="40% - Énfasis1 12" xfId="4238" xr:uid="{6E1DDC21-74AA-4B9A-B144-78E568DAB2DB}"/>
    <cellStyle name="40% - Énfasis1 12 2" xfId="4239" xr:uid="{3017FE97-033C-4AEE-BD1C-1CF918FEBAD8}"/>
    <cellStyle name="40% - Énfasis1 13" xfId="4240" xr:uid="{BB74379E-752C-4CB0-A1B9-D03072DECA07}"/>
    <cellStyle name="40% - Énfasis1 13 2" xfId="4241" xr:uid="{A5AD6E58-4520-4B0F-B714-6C490B47EEB5}"/>
    <cellStyle name="40% - Énfasis1 14" xfId="4242" xr:uid="{1C6F5E08-307E-4071-8EEC-97EB73208B70}"/>
    <cellStyle name="40% - Énfasis1 14 2" xfId="4243" xr:uid="{E378968B-641E-4B45-B8C0-3310928C44BE}"/>
    <cellStyle name="40% - Énfasis1 15" xfId="4244" xr:uid="{DD03E0B1-A485-4A50-8067-B453AD6CA6DB}"/>
    <cellStyle name="40% - Énfasis1 15 2" xfId="4245" xr:uid="{3E0BE928-9F77-48F2-AA9B-B758117F309B}"/>
    <cellStyle name="40% - Énfasis1 16" xfId="4246" xr:uid="{7AC6F8DF-995F-45A4-B0EA-F1BBAEBB28C8}"/>
    <cellStyle name="40% - Énfasis1 2" xfId="890" xr:uid="{900521DE-DE47-47A9-859E-04BDBC050808}"/>
    <cellStyle name="40% - Énfasis1 2 2" xfId="891" xr:uid="{F6535BA0-B6A8-4D8C-91D4-A1041F2932A6}"/>
    <cellStyle name="40% - Énfasis1 2 2 2" xfId="4247" xr:uid="{3A095B41-3D77-4934-B697-7EF2DCB37BC7}"/>
    <cellStyle name="40% - Énfasis1 2 2 3" xfId="4248" xr:uid="{81797E5F-EB7A-4DE8-A0E7-F3A323ED1127}"/>
    <cellStyle name="40% - Énfasis1 2 2 4" xfId="4249" xr:uid="{2E195B08-79A9-4C1B-B6BA-B7FBDFB11EC8}"/>
    <cellStyle name="40% - Énfasis1 2 2 4 2" xfId="4250" xr:uid="{E37AA103-B9FB-4B6A-BC1C-E23A52805CEA}"/>
    <cellStyle name="40% - Énfasis1 2 3" xfId="4251" xr:uid="{A131695A-9BB2-42C4-91D3-8CC1EF8BCFA6}"/>
    <cellStyle name="40% - Énfasis1 2 4" xfId="4252" xr:uid="{6C37498C-DF88-4F80-B365-FD7EE7060E87}"/>
    <cellStyle name="40% - Énfasis1 2 4 2" xfId="4253" xr:uid="{B595A233-9E36-418A-AD71-1E97BE7EEA86}"/>
    <cellStyle name="40% - Énfasis1 2 5" xfId="4254" xr:uid="{98005490-68C8-4685-8304-BCE109948D52}"/>
    <cellStyle name="40% - Énfasis1 2 6" xfId="4255" xr:uid="{C99E9560-6676-4828-880A-BC97C827764F}"/>
    <cellStyle name="40% - Énfasis1 2_Deuda septiembre_marcos" xfId="892" xr:uid="{06139B5D-171D-4560-991C-A4391E68AE9E}"/>
    <cellStyle name="40% - Énfasis1 3" xfId="3314" xr:uid="{ACC45B01-F386-4DAE-B4CF-8650BA04A391}"/>
    <cellStyle name="40% - Énfasis1 3 2" xfId="4256" xr:uid="{83B30CBE-2B36-45E6-BCE3-7D6FE5509AEF}"/>
    <cellStyle name="40% - Énfasis1 3 3" xfId="4257" xr:uid="{8C7A168A-2166-4444-A613-9042D4158C6B}"/>
    <cellStyle name="40% - Énfasis1 3 4" xfId="4258" xr:uid="{8A99B5D5-BF73-422C-9BAD-3BED9A229EC5}"/>
    <cellStyle name="40% - Énfasis1 4" xfId="4259" xr:uid="{44EFEA99-5823-4C95-A49E-1BE0F5E81E73}"/>
    <cellStyle name="40% - Énfasis1 4 2" xfId="4260" xr:uid="{CFFECFA2-4E0C-49A9-8904-54FFAE653B2B}"/>
    <cellStyle name="40% - Énfasis1 4 3" xfId="4261" xr:uid="{8FFB7420-1B6E-46AF-BD2E-B13395E4B412}"/>
    <cellStyle name="40% - Énfasis1 5" xfId="4262" xr:uid="{E87D099F-4B21-4658-BA0A-1E182AA0AD2B}"/>
    <cellStyle name="40% - Énfasis1 5 2" xfId="4263" xr:uid="{2A08FAA3-9E2B-433F-B787-E6D5BD185303}"/>
    <cellStyle name="40% - Énfasis1 6" xfId="4264" xr:uid="{B7185270-9AB6-43F7-9A5A-D4359D973AF2}"/>
    <cellStyle name="40% - Énfasis1 6 2" xfId="4265" xr:uid="{2F6FE32B-F1CE-43E4-B9FF-C2C80E2BD744}"/>
    <cellStyle name="40% - Énfasis1 7" xfId="4266" xr:uid="{4EB2F24D-7EAC-4337-AF63-82B184F395D9}"/>
    <cellStyle name="40% - Énfasis1 7 2" xfId="4267" xr:uid="{5F30E5B3-3EE8-41A9-97E6-DBC8563BB49E}"/>
    <cellStyle name="40% - Énfasis1 8" xfId="4268" xr:uid="{8DAF72C0-9380-4870-9FF7-72002DA03C29}"/>
    <cellStyle name="40% - Énfasis1 8 2" xfId="4269" xr:uid="{798E7DE3-5134-4DEF-B355-ADE5737277A3}"/>
    <cellStyle name="40% - Énfasis1 9" xfId="4270" xr:uid="{8419C003-0F7A-43C1-BB7B-AABDCEC04FA1}"/>
    <cellStyle name="40% - Énfasis1 9 2" xfId="4271" xr:uid="{DACD6436-6015-46FE-8006-FD95B344FB68}"/>
    <cellStyle name="40% - Énfasis2 10" xfId="4272" xr:uid="{71C24314-81B8-44DE-A4FE-8B4463A9DFBD}"/>
    <cellStyle name="40% - Énfasis2 10 2" xfId="4273" xr:uid="{B3061EB8-E570-49CB-BF53-CBD67FD73015}"/>
    <cellStyle name="40% - Énfasis2 11" xfId="4274" xr:uid="{692332D4-39EB-4D16-92F4-5908A6B50234}"/>
    <cellStyle name="40% - Énfasis2 11 2" xfId="4275" xr:uid="{BBE6FC13-C07F-4D83-AB65-8B9923CAEF8F}"/>
    <cellStyle name="40% - Énfasis2 12" xfId="4276" xr:uid="{F8B7E549-6D43-43E4-B278-5BAD15F0CA09}"/>
    <cellStyle name="40% - Énfasis2 12 2" xfId="4277" xr:uid="{2D5889F7-0679-4119-88AC-510D0B1F57C1}"/>
    <cellStyle name="40% - Énfasis2 13" xfId="4278" xr:uid="{2E106524-099B-406C-B4C5-00BD6D607D21}"/>
    <cellStyle name="40% - Énfasis2 13 2" xfId="4279" xr:uid="{AD97C861-74CB-4013-90D2-4B9768B7862D}"/>
    <cellStyle name="40% - Énfasis2 14" xfId="4280" xr:uid="{A46ED91C-7D28-4D52-A9D2-C49FFB6AFFFB}"/>
    <cellStyle name="40% - Énfasis2 14 2" xfId="4281" xr:uid="{10ECC679-42BC-4E38-9F25-7E3E70FB3EB8}"/>
    <cellStyle name="40% - Énfasis2 15" xfId="4282" xr:uid="{E4C756FC-73CB-43D3-B6D1-0DD573E9D0E3}"/>
    <cellStyle name="40% - Énfasis2 2" xfId="893" xr:uid="{E164A2F1-1073-4597-9370-7DA34CD4CA86}"/>
    <cellStyle name="40% - Énfasis2 2 2" xfId="4283" xr:uid="{F7AE8A53-E8F4-4305-BE24-6FB16D1A8C02}"/>
    <cellStyle name="40% - Énfasis2 2 2 2" xfId="4284" xr:uid="{050807A8-0F76-40C0-9F1D-6130FC718662}"/>
    <cellStyle name="40% - Énfasis2 2 3" xfId="4285" xr:uid="{02CA62DD-0F91-44FB-B156-7727B2C80177}"/>
    <cellStyle name="40% - Énfasis2 2 3 2" xfId="4286" xr:uid="{946FA20E-A54B-44DA-9229-8626D97748A4}"/>
    <cellStyle name="40% - Énfasis2 2 4" xfId="4287" xr:uid="{45B2D116-494F-4036-BE56-881BDC758EE9}"/>
    <cellStyle name="40% - Énfasis2 2 5" xfId="4288" xr:uid="{9C1F61F3-7AEB-46E1-8497-A11CEEB8D4AC}"/>
    <cellStyle name="40% - Énfasis2 3" xfId="3315" xr:uid="{5D78035B-8A68-4AF1-B7F8-0E0A0F39F551}"/>
    <cellStyle name="40% - Énfasis2 3 2" xfId="4289" xr:uid="{B1686755-0D2C-4685-8A73-4CFCB548D64B}"/>
    <cellStyle name="40% - Énfasis2 3 3" xfId="4290" xr:uid="{B44454EF-FA7F-443E-BBF2-021E19B3C70E}"/>
    <cellStyle name="40% - Énfasis2 3 4" xfId="4291" xr:uid="{11F23911-8590-46AD-A333-3DDF6AEDE864}"/>
    <cellStyle name="40% - Énfasis2 4" xfId="4292" xr:uid="{D01BAC4B-82BC-4EBB-BAE4-1D7694121306}"/>
    <cellStyle name="40% - Énfasis2 4 2" xfId="4293" xr:uid="{5C2961FB-09BF-428B-8BA8-C691B58BCB5C}"/>
    <cellStyle name="40% - Énfasis2 4 3" xfId="4294" xr:uid="{E699CB10-765A-4747-B609-A4641596292F}"/>
    <cellStyle name="40% - Énfasis2 5" xfId="4295" xr:uid="{71ECB9A9-3216-4E38-8F08-E8433C206F63}"/>
    <cellStyle name="40% - Énfasis2 5 2" xfId="4296" xr:uid="{6786254A-1820-4672-BFCD-4508494335B5}"/>
    <cellStyle name="40% - Énfasis2 6" xfId="4297" xr:uid="{F7582291-25C8-407C-88DB-A8EA1E7EAC56}"/>
    <cellStyle name="40% - Énfasis2 6 2" xfId="4298" xr:uid="{657428BF-ED99-4676-B2C7-FB0BB0A72321}"/>
    <cellStyle name="40% - Énfasis2 7" xfId="4299" xr:uid="{AF80CE11-5029-4925-A5EC-8CEFAF27FD9E}"/>
    <cellStyle name="40% - Énfasis2 7 2" xfId="4300" xr:uid="{07304C97-665C-4236-8C6E-BC20BBB42FD8}"/>
    <cellStyle name="40% - Énfasis2 8" xfId="4301" xr:uid="{C826C9CF-F8B4-4706-910F-C1516B0D6DFE}"/>
    <cellStyle name="40% - Énfasis2 8 2" xfId="4302" xr:uid="{1D908660-E275-4D9D-9B2D-076EAA9578A2}"/>
    <cellStyle name="40% - Énfasis2 9" xfId="4303" xr:uid="{3537390B-C874-4331-A9E8-8D34445422F5}"/>
    <cellStyle name="40% - Énfasis2 9 2" xfId="4304" xr:uid="{1E607DDA-9C1F-42D2-8526-0A47A01EAF9D}"/>
    <cellStyle name="40% - Énfasis3 10" xfId="4305" xr:uid="{FC8DBBC6-CAA4-4533-BCD0-E7567FC5C0D3}"/>
    <cellStyle name="40% - Énfasis3 10 2" xfId="4306" xr:uid="{599EA989-420B-4373-A1AE-E6600126B848}"/>
    <cellStyle name="40% - Énfasis3 11" xfId="4307" xr:uid="{86BB9806-858F-4075-8FF5-444930DC1D7D}"/>
    <cellStyle name="40% - Énfasis3 11 2" xfId="4308" xr:uid="{07E7DFD2-7E54-430E-B506-403BB7500187}"/>
    <cellStyle name="40% - Énfasis3 12" xfId="4309" xr:uid="{52423466-976D-4CAE-A287-A0408104CBAC}"/>
    <cellStyle name="40% - Énfasis3 12 2" xfId="4310" xr:uid="{86D2BF4E-F838-4738-9956-B248A1A226AE}"/>
    <cellStyle name="40% - Énfasis3 13" xfId="4311" xr:uid="{A32F5C20-AF9B-4046-9AA2-B028E468E81C}"/>
    <cellStyle name="40% - Énfasis3 13 2" xfId="4312" xr:uid="{C4ED5383-D116-4BEB-8479-3F8FF5ACBC47}"/>
    <cellStyle name="40% - Énfasis3 14" xfId="4313" xr:uid="{49805D6F-DE97-4C11-839D-55EB06CED7E6}"/>
    <cellStyle name="40% - Énfasis3 14 2" xfId="4314" xr:uid="{FA95BCF9-05B2-43C8-AE81-49476CBBDF68}"/>
    <cellStyle name="40% - Énfasis3 15" xfId="4315" xr:uid="{5F80CF3A-6706-4471-81E5-20868D9FCB48}"/>
    <cellStyle name="40% - Énfasis3 15 2" xfId="4316" xr:uid="{CEA4B27D-C411-468E-B8AF-4E1C9E30F859}"/>
    <cellStyle name="40% - Énfasis3 16" xfId="4317" xr:uid="{525F29F3-317D-4520-B862-F553E050A44F}"/>
    <cellStyle name="40% - Énfasis3 16 2" xfId="4318" xr:uid="{24E8C4C5-09CA-4F0B-8B7A-4CE1C5218C3C}"/>
    <cellStyle name="40% - Énfasis3 17" xfId="4319" xr:uid="{2A7A1D10-A6F1-452D-B3BF-B4D65973210B}"/>
    <cellStyle name="40% - Énfasis3 2" xfId="894" xr:uid="{7122AB38-99EF-4E46-AFAE-082005D6F136}"/>
    <cellStyle name="40% - Énfasis3 2 2" xfId="895" xr:uid="{B09ECD33-972F-4A76-B70C-79B523AFDB28}"/>
    <cellStyle name="40% - Énfasis3 2 3" xfId="4320" xr:uid="{C3EDE19C-150C-4BFB-873D-7F82FA1EA509}"/>
    <cellStyle name="40% - Énfasis3 2 4" xfId="4321" xr:uid="{8885B2B8-04DC-42AD-8BF0-80B9120C295C}"/>
    <cellStyle name="40% - Énfasis3 2 4 2" xfId="4322" xr:uid="{875AA920-7DB9-4270-8038-AF2560E0FABE}"/>
    <cellStyle name="40% - Énfasis3 2 5" xfId="4323" xr:uid="{BC321A1B-3683-4170-95F2-264011FC3A32}"/>
    <cellStyle name="40% - Énfasis3 2 6" xfId="4324" xr:uid="{71137152-1153-4A6A-B2A0-6F00F7ACB4C0}"/>
    <cellStyle name="40% - Énfasis3 2_Deuda septiembre_marcos" xfId="896" xr:uid="{745A3817-5438-4D8D-8743-75128E4257F9}"/>
    <cellStyle name="40% - Énfasis3 3" xfId="897" xr:uid="{C01621EC-A29B-4BB3-9B27-668855EB49C3}"/>
    <cellStyle name="40% - Énfasis3 3 2" xfId="898" xr:uid="{A044F849-223C-4D9F-A16D-C5A45BBA9C0B}"/>
    <cellStyle name="40% - Énfasis3 3_Deuda septiembre_marcos" xfId="899" xr:uid="{2FA26B15-6CE6-4FC6-AAB2-68B117477CA0}"/>
    <cellStyle name="40% - Énfasis3 4" xfId="900" xr:uid="{4D1E9A0B-9097-407C-B765-663893415C8B}"/>
    <cellStyle name="40% - Énfasis3 4 2" xfId="4325" xr:uid="{1CB7D6AE-B11D-4AAD-A717-332DE0CD41D4}"/>
    <cellStyle name="40% - Énfasis3 4 3" xfId="4326" xr:uid="{481C9A42-54B3-4A81-86B8-CEE27A760896}"/>
    <cellStyle name="40% - Énfasis3 5" xfId="4327" xr:uid="{A2E0999D-4E64-47CB-9316-8A5A249211C7}"/>
    <cellStyle name="40% - Énfasis3 5 2" xfId="4328" xr:uid="{2A25C0A5-F877-421F-B400-5E7949F6DDBA}"/>
    <cellStyle name="40% - Énfasis3 5 3" xfId="4329" xr:uid="{72651A95-0042-4FAC-9BA0-301AEDBEBA36}"/>
    <cellStyle name="40% - Énfasis3 6" xfId="4330" xr:uid="{281805D9-D5D3-4624-A695-B8ADD50BC09B}"/>
    <cellStyle name="40% - Énfasis3 6 2" xfId="4331" xr:uid="{1854C824-CE7B-4CEF-8221-8DDA66D8A6D8}"/>
    <cellStyle name="40% - Énfasis3 7" xfId="4332" xr:uid="{82831AF9-B1E9-47DC-9524-D3870D72FA29}"/>
    <cellStyle name="40% - Énfasis3 7 2" xfId="4333" xr:uid="{CA123BA6-296B-41BC-BB86-1B37BF43B3EB}"/>
    <cellStyle name="40% - Énfasis3 8" xfId="4334" xr:uid="{2C50AA87-5CBC-4131-B8A9-E370D6E2198F}"/>
    <cellStyle name="40% - Énfasis3 8 2" xfId="4335" xr:uid="{FF5D5847-4A44-4C21-A0BE-44C1A785A4EA}"/>
    <cellStyle name="40% - Énfasis3 9" xfId="4336" xr:uid="{408017ED-5696-4913-88A6-D5354AAA8964}"/>
    <cellStyle name="40% - Énfasis3 9 2" xfId="4337" xr:uid="{5AC51601-4BA0-4681-A673-A22669BB0AAA}"/>
    <cellStyle name="40% - Énfasis4 10" xfId="4338" xr:uid="{842A2E01-F206-4B9C-9992-3B50506A421A}"/>
    <cellStyle name="40% - Énfasis4 10 2" xfId="4339" xr:uid="{25CC9844-567E-493C-B534-7B5E47C8C27A}"/>
    <cellStyle name="40% - Énfasis4 11" xfId="4340" xr:uid="{F89E16FA-C9FD-4869-B37F-0D964F277E06}"/>
    <cellStyle name="40% - Énfasis4 11 2" xfId="4341" xr:uid="{043B7A3D-CD9A-440C-8D91-0F02E245E92F}"/>
    <cellStyle name="40% - Énfasis4 12" xfId="4342" xr:uid="{064DF8DC-1B3C-4019-B2D1-087CBF7427E6}"/>
    <cellStyle name="40% - Énfasis4 12 2" xfId="4343" xr:uid="{4FFAEFF7-EF62-456B-B496-2EBD058C693C}"/>
    <cellStyle name="40% - Énfasis4 13" xfId="4344" xr:uid="{10D39AFB-57CB-4951-B0FB-3B9A0DA155FA}"/>
    <cellStyle name="40% - Énfasis4 13 2" xfId="4345" xr:uid="{DE6C305F-A11E-4D78-BD54-9720E291AB8C}"/>
    <cellStyle name="40% - Énfasis4 14" xfId="4346" xr:uid="{AF84EACB-A7C0-43C2-945D-E3048DBE3127}"/>
    <cellStyle name="40% - Énfasis4 14 2" xfId="4347" xr:uid="{61EBE616-DDE1-40A4-8818-F10BF64BE19C}"/>
    <cellStyle name="40% - Énfasis4 15" xfId="4348" xr:uid="{7868361F-2860-40BA-B6A3-529B89EDE764}"/>
    <cellStyle name="40% - Énfasis4 15 2" xfId="4349" xr:uid="{731D6B6F-5409-4318-B639-41E6DCBF1149}"/>
    <cellStyle name="40% - Énfasis4 16" xfId="4350" xr:uid="{28FED8A3-F189-4981-8343-EA3D7F8C2C56}"/>
    <cellStyle name="40% - Énfasis4 2" xfId="901" xr:uid="{427C3382-B7D3-415B-AC19-A7FB756311AA}"/>
    <cellStyle name="40% - Énfasis4 2 2" xfId="902" xr:uid="{40E53FB8-EC85-4C93-B685-87CE3CF6B43C}"/>
    <cellStyle name="40% - Énfasis4 2 2 2" xfId="4351" xr:uid="{B91A982C-9B8C-4396-945C-EB82F3FCD3FB}"/>
    <cellStyle name="40% - Énfasis4 2 2 3" xfId="4352" xr:uid="{CCEF3D24-8C1F-455C-B20F-64C6811BF719}"/>
    <cellStyle name="40% - Énfasis4 2 2 4" xfId="4353" xr:uid="{3853D1FD-CE7B-462D-9DDA-1D61F0AFE417}"/>
    <cellStyle name="40% - Énfasis4 2 2 4 2" xfId="4354" xr:uid="{1AEF8DD2-3FF4-4909-944D-90389FAA9657}"/>
    <cellStyle name="40% - Énfasis4 2 3" xfId="4355" xr:uid="{E2A51D34-241F-4190-B5D1-762CED44D6C1}"/>
    <cellStyle name="40% - Énfasis4 2 4" xfId="4356" xr:uid="{BCDD581D-BC06-44FF-ABC3-5351084393E0}"/>
    <cellStyle name="40% - Énfasis4 2 4 2" xfId="4357" xr:uid="{E22E5118-E8C5-4ACE-A3A6-B31ED0F4E20E}"/>
    <cellStyle name="40% - Énfasis4 2 5" xfId="4358" xr:uid="{2E6E214F-4637-4CCB-8B78-EFFBF0FC9FAD}"/>
    <cellStyle name="40% - Énfasis4 2 6" xfId="4359" xr:uid="{D3455226-8951-4F7B-B325-9D70F774A59D}"/>
    <cellStyle name="40% - Énfasis4 2_Deuda septiembre_marcos" xfId="903" xr:uid="{F6C595CF-45CA-4AC1-99EB-F65911CD1B78}"/>
    <cellStyle name="40% - Énfasis4 3" xfId="3316" xr:uid="{728F899D-24B0-4199-A2D9-5771E9C5F27A}"/>
    <cellStyle name="40% - Énfasis4 3 2" xfId="4360" xr:uid="{B410A85C-AD33-4791-AA7D-3C1EED5D5DA9}"/>
    <cellStyle name="40% - Énfasis4 3 3" xfId="4361" xr:uid="{98EE111A-1F94-4F30-9D16-3976AF206AE7}"/>
    <cellStyle name="40% - Énfasis4 3 4" xfId="4362" xr:uid="{7F50BD78-667D-47F4-A059-FCABC07A2623}"/>
    <cellStyle name="40% - Énfasis4 4" xfId="4363" xr:uid="{992E9D2E-729F-4871-B2DA-75F81A4B0720}"/>
    <cellStyle name="40% - Énfasis4 4 2" xfId="4364" xr:uid="{F02C5A49-90A3-4BB4-9768-7A6B2DAAEA9E}"/>
    <cellStyle name="40% - Énfasis4 4 3" xfId="4365" xr:uid="{0EA25FF8-47F0-47ED-AD55-FD18F86A2257}"/>
    <cellStyle name="40% - Énfasis4 5" xfId="4366" xr:uid="{B60F32CF-6FF7-4405-BF0C-91E0E4A62198}"/>
    <cellStyle name="40% - Énfasis4 5 2" xfId="4367" xr:uid="{97161571-F2DF-4964-A77E-786FDA935E36}"/>
    <cellStyle name="40% - Énfasis4 6" xfId="4368" xr:uid="{CC4D061C-7269-4E82-BCA1-B02D755CF10F}"/>
    <cellStyle name="40% - Énfasis4 6 2" xfId="4369" xr:uid="{4B101F7D-78C4-4A86-9168-75DB7E9FE5DA}"/>
    <cellStyle name="40% - Énfasis4 7" xfId="4370" xr:uid="{69CF1812-277B-441F-B9B1-6EBFD3A93D51}"/>
    <cellStyle name="40% - Énfasis4 7 2" xfId="4371" xr:uid="{F2D520DE-ACA3-4251-8C09-7A272240E4F4}"/>
    <cellStyle name="40% - Énfasis4 8" xfId="4372" xr:uid="{32F9149B-85A7-489E-8AC8-508A0655EDAE}"/>
    <cellStyle name="40% - Énfasis4 8 2" xfId="4373" xr:uid="{41B8BA60-4E8E-4549-ADE8-5E4248BC36DD}"/>
    <cellStyle name="40% - Énfasis4 9" xfId="4374" xr:uid="{D94D0211-A547-4A4C-B76B-65053A1FDD5B}"/>
    <cellStyle name="40% - Énfasis4 9 2" xfId="4375" xr:uid="{3C7167B7-23B9-45F2-92AD-B85625ADE101}"/>
    <cellStyle name="40% - Énfasis5 10" xfId="4376" xr:uid="{9770BA1F-24B9-4007-BC86-7DEAF9A933A5}"/>
    <cellStyle name="40% - Énfasis5 10 2" xfId="4377" xr:uid="{0E192E61-6201-46F7-8C14-2A13D32BCAB9}"/>
    <cellStyle name="40% - Énfasis5 11" xfId="4378" xr:uid="{88CA0EE7-E618-4D4D-A36D-E06F2A514077}"/>
    <cellStyle name="40% - Énfasis5 11 2" xfId="4379" xr:uid="{76C6CD73-CA1F-4EF4-83C4-83D67D18803D}"/>
    <cellStyle name="40% - Énfasis5 12" xfId="4380" xr:uid="{664C13C4-86E2-4800-BCAD-F3D6B818CC7F}"/>
    <cellStyle name="40% - Énfasis5 12 2" xfId="4381" xr:uid="{30148F86-EC5D-4B1B-8257-949AD7808BE9}"/>
    <cellStyle name="40% - Énfasis5 13" xfId="4382" xr:uid="{FD34255B-F911-4F18-AAEF-88521C65C658}"/>
    <cellStyle name="40% - Énfasis5 13 2" xfId="4383" xr:uid="{F70416CE-CFDC-44CA-98EF-CCC528E5E6A3}"/>
    <cellStyle name="40% - Énfasis5 14" xfId="4384" xr:uid="{91ADB2B5-993D-4C7E-A142-43777915DE61}"/>
    <cellStyle name="40% - Énfasis5 14 2" xfId="4385" xr:uid="{489F5B20-0FC6-4F8F-A3EE-05E4686979B2}"/>
    <cellStyle name="40% - Énfasis5 15" xfId="4386" xr:uid="{A8B7CACF-5537-48DB-B07D-1A6CBCEC2877}"/>
    <cellStyle name="40% - Énfasis5 15 2" xfId="4387" xr:uid="{33929631-C66A-4A90-A4ED-AB76D08EC8F5}"/>
    <cellStyle name="40% - Énfasis5 16" xfId="4388" xr:uid="{5E1EE314-FDA2-42AF-87A0-648C90FFBA76}"/>
    <cellStyle name="40% - Énfasis5 2" xfId="904" xr:uid="{AD43B64C-65D8-434A-AB84-1A0B152295C2}"/>
    <cellStyle name="40% - Énfasis5 2 2" xfId="905" xr:uid="{F3CE5ECB-EFB8-444C-8C56-BC8F8DFD8E81}"/>
    <cellStyle name="40% - Énfasis5 2 2 2" xfId="4389" xr:uid="{AE107FA4-5C5A-418D-8733-8FBA29D91A2F}"/>
    <cellStyle name="40% - Énfasis5 2 2 3" xfId="4390" xr:uid="{D62F295F-D996-424E-A8FD-09CF55E13900}"/>
    <cellStyle name="40% - Énfasis5 2 2 4" xfId="4391" xr:uid="{EB502AFD-4C49-4037-B47B-E53CA6B1C705}"/>
    <cellStyle name="40% - Énfasis5 2 2 4 2" xfId="4392" xr:uid="{796A3E6B-3A84-47BA-A8B1-DE451EA61BC2}"/>
    <cellStyle name="40% - Énfasis5 2 3" xfId="4393" xr:uid="{328F62B8-7913-4078-8D6A-0C2DD389AAE3}"/>
    <cellStyle name="40% - Énfasis5 2 4" xfId="4394" xr:uid="{551205D7-9F6A-4693-AD7B-F56D35DA5D58}"/>
    <cellStyle name="40% - Énfasis5 2 4 2" xfId="4395" xr:uid="{51D29B21-6D8A-4E0B-AD42-33831B80C17F}"/>
    <cellStyle name="40% - Énfasis5 2 5" xfId="4396" xr:uid="{BFE9E45D-5BDB-4E9B-95BF-C24AA92A4B48}"/>
    <cellStyle name="40% - Énfasis5 2 6" xfId="4397" xr:uid="{602A7EAE-FA6D-4057-9621-63954DD9F573}"/>
    <cellStyle name="40% - Énfasis5 2_Deuda septiembre_marcos" xfId="906" xr:uid="{933507B5-216B-42F5-8204-35C311D14FF1}"/>
    <cellStyle name="40% - Énfasis5 3" xfId="3317" xr:uid="{71BBBEE7-EC89-4198-9E9D-2D26782AD975}"/>
    <cellStyle name="40% - Énfasis5 3 2" xfId="4398" xr:uid="{C78A5D34-B320-48BA-A5D4-8DC5ABA55EAC}"/>
    <cellStyle name="40% - Énfasis5 3 3" xfId="4399" xr:uid="{A274FCBF-F14C-458A-9C97-F60D04AD71E7}"/>
    <cellStyle name="40% - Énfasis5 3 4" xfId="4400" xr:uid="{A315944B-FFDF-4CA6-957C-85BD8095DE5E}"/>
    <cellStyle name="40% - Énfasis5 4" xfId="4401" xr:uid="{97B70AEC-02A1-4F18-9396-8D145626B60E}"/>
    <cellStyle name="40% - Énfasis5 4 2" xfId="4402" xr:uid="{FF339F96-9260-4689-9454-03C3965E52DC}"/>
    <cellStyle name="40% - Énfasis5 4 3" xfId="4403" xr:uid="{0465DEA8-CA6B-4005-8400-36A41235FB3B}"/>
    <cellStyle name="40% - Énfasis5 5" xfId="4404" xr:uid="{CB73645E-0265-4BFC-8025-E377C619BCCA}"/>
    <cellStyle name="40% - Énfasis5 5 2" xfId="4405" xr:uid="{151E4792-0765-48A1-A388-40ED22F762A4}"/>
    <cellStyle name="40% - Énfasis5 6" xfId="4406" xr:uid="{FE5BE32C-7A88-4092-B741-F68FA52B9AF3}"/>
    <cellStyle name="40% - Énfasis5 6 2" xfId="4407" xr:uid="{4F5ECED0-2A98-4296-9DAB-62DBB34C1285}"/>
    <cellStyle name="40% - Énfasis5 7" xfId="4408" xr:uid="{1F8A226C-19A4-407F-BE65-6F3E1B544D33}"/>
    <cellStyle name="40% - Énfasis5 7 2" xfId="4409" xr:uid="{1BFE8550-8CAF-451C-8AF8-527897970C27}"/>
    <cellStyle name="40% - Énfasis5 8" xfId="4410" xr:uid="{B5BC0912-9408-48A7-B41B-462D6ABC2CB4}"/>
    <cellStyle name="40% - Énfasis5 8 2" xfId="4411" xr:uid="{245D2357-E5B8-4F60-BAA8-BF02121F07CB}"/>
    <cellStyle name="40% - Énfasis5 9" xfId="4412" xr:uid="{ED3376A8-F0E4-4D55-A28B-B2307F3CDF50}"/>
    <cellStyle name="40% - Énfasis5 9 2" xfId="4413" xr:uid="{EBC5AFB8-CE7C-4741-9436-D6540A63D9BE}"/>
    <cellStyle name="40% - Énfasis6 10" xfId="4414" xr:uid="{A70D8482-04FA-46A6-B71D-B09E078598A1}"/>
    <cellStyle name="40% - Énfasis6 10 2" xfId="4415" xr:uid="{5EBB35C6-52A7-4EBA-862C-DA1CCF60A997}"/>
    <cellStyle name="40% - Énfasis6 11" xfId="4416" xr:uid="{E360C2E5-AC44-430E-836F-4F55EC25045E}"/>
    <cellStyle name="40% - Énfasis6 11 2" xfId="4417" xr:uid="{530A9DA2-4C59-422E-8A24-7E5089E436EE}"/>
    <cellStyle name="40% - Énfasis6 12" xfId="4418" xr:uid="{A7AC0C9F-1B59-4536-AD6D-12BF00FB9077}"/>
    <cellStyle name="40% - Énfasis6 12 2" xfId="4419" xr:uid="{1EFB4745-7F15-4E2C-8DD7-5FE3CDCFE0A4}"/>
    <cellStyle name="40% - Énfasis6 13" xfId="4420" xr:uid="{A04A366D-7C7D-45E2-B6A2-13016CE87B8D}"/>
    <cellStyle name="40% - Énfasis6 13 2" xfId="4421" xr:uid="{D4020236-CE9A-4A13-A0B4-278AC755C2FF}"/>
    <cellStyle name="40% - Énfasis6 14" xfId="4422" xr:uid="{52004D87-3D4A-4AA0-98DD-EA4A1B9F2CDB}"/>
    <cellStyle name="40% - Énfasis6 14 2" xfId="4423" xr:uid="{00CE1F34-EC16-44D3-871B-71DF94AE51F4}"/>
    <cellStyle name="40% - Énfasis6 15" xfId="4424" xr:uid="{7B141DEB-B587-4F99-BE46-4BDDFF71B047}"/>
    <cellStyle name="40% - Énfasis6 2" xfId="907" xr:uid="{7CC09867-A58F-4F10-B4DE-4CE56F1633C5}"/>
    <cellStyle name="40% - Énfasis6 2 2" xfId="4425" xr:uid="{5D880DE9-E36C-43BA-B16B-8D9E48BD7538}"/>
    <cellStyle name="40% - Énfasis6 2 2 2" xfId="4426" xr:uid="{7468E9DC-46CF-4F17-9926-096F65AAE5AB}"/>
    <cellStyle name="40% - Énfasis6 2 3" xfId="4427" xr:uid="{425D6CBB-C6CA-4B5F-B8DD-F3C99A081540}"/>
    <cellStyle name="40% - Énfasis6 2 3 2" xfId="4428" xr:uid="{71D92114-7414-4F6C-A2F5-5C1C0C97CC48}"/>
    <cellStyle name="40% - Énfasis6 2 4" xfId="4429" xr:uid="{86D76421-C6A6-4FD9-AF14-2344A1B967ED}"/>
    <cellStyle name="40% - Énfasis6 2 5" xfId="4430" xr:uid="{B5669268-57B8-475A-A972-62F8FD718A3B}"/>
    <cellStyle name="40% - Énfasis6 3" xfId="3318" xr:uid="{2060D0AE-0A5C-4C82-BC09-30C453035635}"/>
    <cellStyle name="40% - Énfasis6 3 2" xfId="4431" xr:uid="{87B4A774-4546-4EB1-82EC-54F163920B27}"/>
    <cellStyle name="40% - Énfasis6 3 3" xfId="4432" xr:uid="{5DD2A596-C1C5-4CB5-B047-185B73CC3830}"/>
    <cellStyle name="40% - Énfasis6 3 4" xfId="4433" xr:uid="{130121DA-8CBB-44C9-AE6A-718E7FB03C18}"/>
    <cellStyle name="40% - Énfasis6 4" xfId="4434" xr:uid="{ECC5CDEE-1E4A-4806-99EA-D02303551AE3}"/>
    <cellStyle name="40% - Énfasis6 4 2" xfId="4435" xr:uid="{49B4A332-F929-446F-998D-204D871713E6}"/>
    <cellStyle name="40% - Énfasis6 4 3" xfId="4436" xr:uid="{067108A8-D627-4A77-A74D-A48F1E3CEBED}"/>
    <cellStyle name="40% - Énfasis6 5" xfId="4437" xr:uid="{A0A858D6-9CAF-43B9-9A21-F7CAC0983D26}"/>
    <cellStyle name="40% - Énfasis6 5 2" xfId="4438" xr:uid="{2DCE8C10-D5D5-4C53-B2B1-953E58431CBB}"/>
    <cellStyle name="40% - Énfasis6 6" xfId="4439" xr:uid="{DB6FE062-A7CF-4302-8688-8A1AA29D2A0A}"/>
    <cellStyle name="40% - Énfasis6 6 2" xfId="4440" xr:uid="{65EFA3E2-D51D-4CCB-A304-078C8536746C}"/>
    <cellStyle name="40% - Énfasis6 7" xfId="4441" xr:uid="{F9317F7A-4D58-4ECE-A0F7-C34A71B16FF8}"/>
    <cellStyle name="40% - Énfasis6 7 2" xfId="4442" xr:uid="{62270BD4-4FA7-4836-99E6-BB0959EF2C8A}"/>
    <cellStyle name="40% - Énfasis6 8" xfId="4443" xr:uid="{214A3F7F-4439-4FF0-9E1A-195482D4E0DA}"/>
    <cellStyle name="40% - Énfasis6 8 2" xfId="4444" xr:uid="{D113AB62-6339-4B11-9CCE-57B2F26546B3}"/>
    <cellStyle name="40% - Énfasis6 9" xfId="4445" xr:uid="{6A32BD6D-2CC7-4235-8F33-A5D4A3916012}"/>
    <cellStyle name="40% - Énfasis6 9 2" xfId="4446" xr:uid="{B9DEAECC-381F-495C-BFCC-CE0EEFBDCEBD}"/>
    <cellStyle name="60% - Ênfase1" xfId="908" xr:uid="{D0B4815D-932A-4576-A2C7-B376CBB254CD}"/>
    <cellStyle name="60% - Ênfase2" xfId="909" xr:uid="{D56BE7E0-4C58-42B1-A9A8-0C8627865FD9}"/>
    <cellStyle name="60% - Ênfase3" xfId="910" xr:uid="{6F34D529-6DCC-451F-B5E3-22E974B89D86}"/>
    <cellStyle name="60% - Ênfase4" xfId="911" xr:uid="{84D9A264-0732-4C7B-BD01-39B10534311D}"/>
    <cellStyle name="60% - Ênfase5" xfId="912" xr:uid="{BD92D916-ACED-4777-A766-E24738037A09}"/>
    <cellStyle name="60% - Ênfase6" xfId="913" xr:uid="{9A310335-54D2-456C-96DC-75F5A8D9770F}"/>
    <cellStyle name="60% - Énfasis1 10" xfId="4447" xr:uid="{16832C35-57E7-4158-9D61-4D83A8B0DB49}"/>
    <cellStyle name="60% - Énfasis1 11" xfId="4448" xr:uid="{597F7B18-A1AD-4609-9DE3-864B388CE588}"/>
    <cellStyle name="60% - Énfasis1 11 2" xfId="4449" xr:uid="{E82A3C8E-5238-420B-9B93-2BB59FEAE0E5}"/>
    <cellStyle name="60% - Énfasis1 12" xfId="4450" xr:uid="{DF2AC401-0EA6-43A7-9323-366A38D86DC0}"/>
    <cellStyle name="60% - Énfasis1 12 2" xfId="4451" xr:uid="{3E4B755C-F09C-488B-B6DE-77AA627402A2}"/>
    <cellStyle name="60% - Énfasis1 13" xfId="4452" xr:uid="{CCD1311A-58A5-45A8-AEC9-9F32CF093B14}"/>
    <cellStyle name="60% - Énfasis1 13 2" xfId="4453" xr:uid="{31B5748E-2DEF-4FA6-A9BE-3497B475AE74}"/>
    <cellStyle name="60% - Énfasis1 14" xfId="4454" xr:uid="{D9379DAE-1248-43E7-AC7B-A29F98B5798C}"/>
    <cellStyle name="60% - Énfasis1 14 2" xfId="4455" xr:uid="{91D53445-47C2-492E-B5F8-38F85BC59CEE}"/>
    <cellStyle name="60% - Énfasis1 15" xfId="4456" xr:uid="{193F0182-6F4D-452F-9D23-527DE6F60140}"/>
    <cellStyle name="60% - Énfasis1 15 2" xfId="4457" xr:uid="{CB48E763-1BFA-4CC2-AE8D-31AABFDA0806}"/>
    <cellStyle name="60% - Énfasis1 16" xfId="4458" xr:uid="{849BC565-26CA-4934-A5FE-59BB5F0015DD}"/>
    <cellStyle name="60% - Énfasis1 2" xfId="914" xr:uid="{FFF0A4CA-8D36-4D7A-8D00-EFC58ECEFC1B}"/>
    <cellStyle name="60% - Énfasis1 2 2" xfId="915" xr:uid="{0074B820-3E84-4C3E-B5DF-5963FC8F1742}"/>
    <cellStyle name="60% - Énfasis1 2 2 2" xfId="4459" xr:uid="{6199452B-3A24-4736-A44F-9061B42176F9}"/>
    <cellStyle name="60% - Énfasis1 2 2 3" xfId="4460" xr:uid="{DCD15CA6-60B9-4631-BD4A-1D831A4EDD9D}"/>
    <cellStyle name="60% - Énfasis1 2 2 4" xfId="4461" xr:uid="{53BE56A9-2C1B-45B5-9A1A-BC1A55332A74}"/>
    <cellStyle name="60% - Énfasis1 2 2 4 2" xfId="4462" xr:uid="{0C286011-B407-4766-8A38-B4A3E5992253}"/>
    <cellStyle name="60% - Énfasis1 2 3" xfId="4463" xr:uid="{12F6D9C0-D12F-4042-AFD9-92D58C59A780}"/>
    <cellStyle name="60% - Énfasis1 2 4" xfId="4464" xr:uid="{5DF2FEF9-B3AA-4FF7-B7B3-66299B523A48}"/>
    <cellStyle name="60% - Énfasis1 2 4 2" xfId="4465" xr:uid="{8249759F-59E5-42BE-86B0-5983AC0E71B4}"/>
    <cellStyle name="60% - Énfasis1 2 5" xfId="4466" xr:uid="{C72DD596-188E-451A-992E-9B031A259DCD}"/>
    <cellStyle name="60% - Énfasis1 2_Deuda septiembre_marcos" xfId="916" xr:uid="{1DBFEBB3-C064-47E6-9FC1-F7D7584EF481}"/>
    <cellStyle name="60% - Énfasis1 3" xfId="3319" xr:uid="{34ADF84A-4A15-4B61-BF9B-DC4AAD5559E4}"/>
    <cellStyle name="60% - Énfasis1 3 2" xfId="4467" xr:uid="{2434FBAE-4F0F-4BFE-86F8-CA4FA45E768A}"/>
    <cellStyle name="60% - Énfasis1 3 3" xfId="4468" xr:uid="{EA26E2F9-00FF-4B6C-9AD1-6E1FB8AFCF3A}"/>
    <cellStyle name="60% - Énfasis1 4" xfId="4469" xr:uid="{81DF2C3F-E2D1-4353-977A-F8EED56F9F09}"/>
    <cellStyle name="60% - Énfasis1 4 2" xfId="4470" xr:uid="{C0740415-0F12-4F28-B0C1-DBB9E3923F10}"/>
    <cellStyle name="60% - Énfasis1 4 3" xfId="4471" xr:uid="{3E173DDA-DF72-4554-9E95-DDBFEF008D42}"/>
    <cellStyle name="60% - Énfasis1 5" xfId="4472" xr:uid="{66348DF2-9886-4E01-BA36-FFF0B0641DF7}"/>
    <cellStyle name="60% - Énfasis1 6" xfId="4473" xr:uid="{954FDC09-3AE9-474D-A564-DDA606F4EBF7}"/>
    <cellStyle name="60% - Énfasis1 7" xfId="4474" xr:uid="{DF2A13FB-A2D3-4F64-856F-559B260B4EE9}"/>
    <cellStyle name="60% - Énfasis1 8" xfId="4475" xr:uid="{D75E61A3-8199-47B9-9D87-ACDA2F77EC11}"/>
    <cellStyle name="60% - Énfasis1 9" xfId="4476" xr:uid="{3FC132D3-DA16-49C1-98E8-65675B95B003}"/>
    <cellStyle name="60% - Énfasis2 10" xfId="4477" xr:uid="{CA85BDB5-8716-4FAC-8067-149CEFC95CD1}"/>
    <cellStyle name="60% - Énfasis2 10 2" xfId="4478" xr:uid="{EDF251FF-175E-423F-8104-CA87DB91472A}"/>
    <cellStyle name="60% - Énfasis2 11" xfId="4479" xr:uid="{E5259721-BA20-422B-99F4-642A1ED6AD3A}"/>
    <cellStyle name="60% - Énfasis2 11 2" xfId="4480" xr:uid="{3FFBD4C4-FC77-413D-9164-F8497FC3606A}"/>
    <cellStyle name="60% - Énfasis2 12" xfId="4481" xr:uid="{34A85A26-A827-4B70-8015-2E74F696DF20}"/>
    <cellStyle name="60% - Énfasis2 12 2" xfId="4482" xr:uid="{1A44FA22-AA63-419B-918C-3981B433FE5B}"/>
    <cellStyle name="60% - Énfasis2 13" xfId="4483" xr:uid="{090E786F-BF56-4F01-A5D9-E116604DBABA}"/>
    <cellStyle name="60% - Énfasis2 13 2" xfId="4484" xr:uid="{AA8B43E5-F757-4C58-AAFD-4BFE6E60B393}"/>
    <cellStyle name="60% - Énfasis2 14" xfId="4485" xr:uid="{87DD6698-9E08-4545-BE01-8597D245FD90}"/>
    <cellStyle name="60% - Énfasis2 14 2" xfId="4486" xr:uid="{92CE2A75-1E58-4CF5-8C08-17AC011ED5E7}"/>
    <cellStyle name="60% - Énfasis2 15" xfId="4487" xr:uid="{47094CAB-7703-433B-B1E8-D751EC099D68}"/>
    <cellStyle name="60% - Énfasis2 2" xfId="3320" xr:uid="{668F94C8-0954-45CB-8ACB-B11580B0E405}"/>
    <cellStyle name="60% - Énfasis2 2 2" xfId="4488" xr:uid="{515E1850-66DD-4B01-8029-F130964E7176}"/>
    <cellStyle name="60% - Énfasis2 2 3" xfId="4489" xr:uid="{0708BB14-85F4-45CD-BBAE-094D2E4545C6}"/>
    <cellStyle name="60% - Énfasis2 2 4" xfId="4490" xr:uid="{7B05C23D-CFAD-48EF-B103-853B5FC89E96}"/>
    <cellStyle name="60% - Énfasis2 3" xfId="3321" xr:uid="{7A3F9493-6880-4BC7-8B30-1C5857B05063}"/>
    <cellStyle name="60% - Énfasis2 3 2" xfId="4491" xr:uid="{2C647856-9AFC-48BE-9970-C026AC506C0C}"/>
    <cellStyle name="60% - Énfasis2 3 3" xfId="4492" xr:uid="{3BC94090-A787-4D20-9165-25068002C049}"/>
    <cellStyle name="60% - Énfasis2 4" xfId="4493" xr:uid="{312091B4-DA1A-489D-B4F3-271B4DDF1721}"/>
    <cellStyle name="60% - Énfasis2 4 2" xfId="4494" xr:uid="{93022EB2-BC34-4AF0-A690-89CEAF72880F}"/>
    <cellStyle name="60% - Énfasis2 4 3" xfId="4495" xr:uid="{4CA40A40-9A02-4921-B9A8-593C0B4D6DD9}"/>
    <cellStyle name="60% - Énfasis2 5" xfId="4496" xr:uid="{385CD9F8-C471-49A4-8F38-200195F228C8}"/>
    <cellStyle name="60% - Énfasis2 6" xfId="4497" xr:uid="{522234A3-447F-4D56-A9DE-2255B6B5CD0D}"/>
    <cellStyle name="60% - Énfasis2 7" xfId="4498" xr:uid="{0E88DE59-9D46-4114-BBB8-27E484920E00}"/>
    <cellStyle name="60% - Énfasis2 8" xfId="4499" xr:uid="{48825D52-D1C7-421D-AE85-C67BA96EFECF}"/>
    <cellStyle name="60% - Énfasis2 9" xfId="4500" xr:uid="{F7D6D707-127C-4185-BEAB-C8E8F82CFF4B}"/>
    <cellStyle name="60% - Énfasis3 10" xfId="4501" xr:uid="{851E7227-6784-4A43-92E2-1D36D908ADDB}"/>
    <cellStyle name="60% - Énfasis3 11" xfId="4502" xr:uid="{29B2AD11-F4A1-473A-B924-1067D1D08A55}"/>
    <cellStyle name="60% - Énfasis3 11 2" xfId="4503" xr:uid="{2810AB53-2A72-45E4-AFF0-E9223B8AE210}"/>
    <cellStyle name="60% - Énfasis3 12" xfId="4504" xr:uid="{890796FF-44CE-4534-8488-6267C472CC20}"/>
    <cellStyle name="60% - Énfasis3 12 2" xfId="4505" xr:uid="{4A9B2EAF-8CFB-45BF-8F16-80BCBED72CEA}"/>
    <cellStyle name="60% - Énfasis3 13" xfId="4506" xr:uid="{DA79EB1F-757A-44D5-8B0E-DCA4363E8217}"/>
    <cellStyle name="60% - Énfasis3 13 2" xfId="4507" xr:uid="{D4ED1690-5BCA-4ED2-84C0-9EEFBAA2917D}"/>
    <cellStyle name="60% - Énfasis3 14" xfId="4508" xr:uid="{8E81FEB5-292A-4F98-AB70-8F2DA397117D}"/>
    <cellStyle name="60% - Énfasis3 14 2" xfId="4509" xr:uid="{87DE9B65-743A-4784-B020-D973E58534D8}"/>
    <cellStyle name="60% - Énfasis3 15" xfId="4510" xr:uid="{3AB18B3D-B528-4F23-AA8F-A0DD38C54034}"/>
    <cellStyle name="60% - Énfasis3 15 2" xfId="4511" xr:uid="{CE2E7F28-B59C-4942-8420-117578757F03}"/>
    <cellStyle name="60% - Énfasis3 16" xfId="4512" xr:uid="{3352FDB3-BD79-4F25-9692-885A218A3480}"/>
    <cellStyle name="60% - Énfasis3 2" xfId="917" xr:uid="{47C9C315-BF55-4D0A-B4C1-79BCBC67C2D9}"/>
    <cellStyle name="60% - Énfasis3 2 2" xfId="918" xr:uid="{267DB5C6-1223-421D-9624-E92B386596AA}"/>
    <cellStyle name="60% - Énfasis3 2 2 2" xfId="4513" xr:uid="{AF360991-069E-4B6E-9FFD-935A9BB26533}"/>
    <cellStyle name="60% - Énfasis3 2 2 3" xfId="4514" xr:uid="{5A113D6A-97A4-4DEB-B1B5-15187144CE91}"/>
    <cellStyle name="60% - Énfasis3 2 2 4" xfId="4515" xr:uid="{630C3463-9A0D-4D5F-BB2F-7C43670CC5A6}"/>
    <cellStyle name="60% - Énfasis3 2 2 4 2" xfId="4516" xr:uid="{168964FA-F82E-4631-BF4A-D9E00DDA38E4}"/>
    <cellStyle name="60% - Énfasis3 2 3" xfId="4517" xr:uid="{557E3A31-11AA-48DE-A945-6F1922B8E590}"/>
    <cellStyle name="60% - Énfasis3 2 4" xfId="4518" xr:uid="{222DCD39-E1D6-458B-882C-E5F7FF193502}"/>
    <cellStyle name="60% - Énfasis3 2 4 2" xfId="4519" xr:uid="{7A054470-F921-41B0-AD35-EF6E822911E2}"/>
    <cellStyle name="60% - Énfasis3 2 5" xfId="4520" xr:uid="{1CCE5B68-64E0-4836-98EC-A59282DCE7C0}"/>
    <cellStyle name="60% - Énfasis3 2_Deuda septiembre_marcos" xfId="919" xr:uid="{3BA89C5D-D106-4A33-B237-EFCE80FA8150}"/>
    <cellStyle name="60% - Énfasis3 3" xfId="3322" xr:uid="{BACF4C42-B086-4601-BC65-475CAE4BFB4F}"/>
    <cellStyle name="60% - Énfasis3 3 2" xfId="4521" xr:uid="{37BA06DF-BB34-414D-B562-1BE55E2C12C4}"/>
    <cellStyle name="60% - Énfasis3 3 3" xfId="4522" xr:uid="{B94270E6-7BA8-42C0-8D1C-DC5ACCDF0D32}"/>
    <cellStyle name="60% - Énfasis3 4" xfId="4523" xr:uid="{813C021F-EB38-4BD4-916C-4599805402D1}"/>
    <cellStyle name="60% - Énfasis3 4 2" xfId="4524" xr:uid="{EC428091-6A65-4314-A110-72D533296090}"/>
    <cellStyle name="60% - Énfasis3 4 3" xfId="4525" xr:uid="{F46C2A03-94B4-4711-A374-ED4877E662C0}"/>
    <cellStyle name="60% - Énfasis3 5" xfId="4526" xr:uid="{82C7B90E-6192-4A16-A2D6-CC261F91B467}"/>
    <cellStyle name="60% - Énfasis3 6" xfId="4527" xr:uid="{F14A7A9D-76FE-4549-886B-8123853CC31F}"/>
    <cellStyle name="60% - Énfasis3 7" xfId="4528" xr:uid="{96454830-5824-4266-8ACE-D212EB515A06}"/>
    <cellStyle name="60% - Énfasis3 8" xfId="4529" xr:uid="{FD21C01D-CBBF-46C6-BADF-238884F85B3C}"/>
    <cellStyle name="60% - Énfasis3 9" xfId="4530" xr:uid="{23137B06-A4D3-4DFC-B878-5D4C3665103E}"/>
    <cellStyle name="60% - Énfasis4 10" xfId="4531" xr:uid="{94289D54-6278-489A-836C-7785464EDC46}"/>
    <cellStyle name="60% - Énfasis4 10 2" xfId="4532" xr:uid="{AC9326D6-E26B-4A14-82A5-E2B400ABBD23}"/>
    <cellStyle name="60% - Énfasis4 11" xfId="4533" xr:uid="{87298509-6F96-411A-B7E6-07F7497ED1F6}"/>
    <cellStyle name="60% - Énfasis4 11 2" xfId="4534" xr:uid="{AD28848F-F640-4BF6-9D81-C19419C2D637}"/>
    <cellStyle name="60% - Énfasis4 12" xfId="4535" xr:uid="{36C3F6EB-B3C2-4C2A-9CFA-0509A6ADF002}"/>
    <cellStyle name="60% - Énfasis4 12 2" xfId="4536" xr:uid="{B5681570-EF36-47D7-851F-47ED76B0C8D0}"/>
    <cellStyle name="60% - Énfasis4 13" xfId="4537" xr:uid="{9456C239-965A-454F-91AD-C08395890304}"/>
    <cellStyle name="60% - Énfasis4 13 2" xfId="4538" xr:uid="{922B53BE-B8A9-4DA0-89C4-9EA2D8E3E605}"/>
    <cellStyle name="60% - Énfasis4 14" xfId="4539" xr:uid="{D25B0DB6-E50F-4E09-AECD-52F119B9E6D0}"/>
    <cellStyle name="60% - Énfasis4 14 2" xfId="4540" xr:uid="{2FA63B15-7D1A-4C37-84B5-4548009EC1F6}"/>
    <cellStyle name="60% - Énfasis4 15" xfId="4541" xr:uid="{5753E3CC-7D5D-44A5-A06B-EBCC4DFD9E54}"/>
    <cellStyle name="60% - Énfasis4 2" xfId="3323" xr:uid="{43A19CA8-5C98-4D65-BD6B-61007076A9D6}"/>
    <cellStyle name="60% - Énfasis4 2 2" xfId="4542" xr:uid="{FDF0BA9A-E10A-4E11-B6A8-54B031DE688F}"/>
    <cellStyle name="60% - Énfasis4 2 3" xfId="4543" xr:uid="{AE8BDF98-8EC0-4AD0-87CA-F64BDEB583FD}"/>
    <cellStyle name="60% - Énfasis4 2 4" xfId="4544" xr:uid="{64213E4F-2E53-4D10-97FC-C09314CE3092}"/>
    <cellStyle name="60% - Énfasis4 3" xfId="3324" xr:uid="{23479B63-E76D-4BBC-8C85-AE403DE668E3}"/>
    <cellStyle name="60% - Énfasis4 3 2" xfId="4545" xr:uid="{7925CE50-8A6B-46E8-BD95-512C30EE9F4B}"/>
    <cellStyle name="60% - Énfasis4 3 3" xfId="4546" xr:uid="{74A11C73-13CD-403D-88BD-85E4D644EBE0}"/>
    <cellStyle name="60% - Énfasis4 4" xfId="4547" xr:uid="{1EA73566-E601-4FFE-B810-05F8AF6971CB}"/>
    <cellStyle name="60% - Énfasis4 4 2" xfId="4548" xr:uid="{5C3D3D93-89BB-4F2E-82D2-B2FEAF180459}"/>
    <cellStyle name="60% - Énfasis4 4 3" xfId="4549" xr:uid="{55E7BC16-9CAB-47F3-A6FA-0416BCE5F877}"/>
    <cellStyle name="60% - Énfasis4 5" xfId="4550" xr:uid="{E5451A10-2B0C-4E6C-949A-E9FF56AB4D33}"/>
    <cellStyle name="60% - Énfasis4 6" xfId="4551" xr:uid="{A691C834-4A26-440F-A9C8-1CC854DA4669}"/>
    <cellStyle name="60% - Énfasis4 7" xfId="4552" xr:uid="{75D672BA-0539-415A-BF0A-5A1F014908A2}"/>
    <cellStyle name="60% - Énfasis4 8" xfId="4553" xr:uid="{47736108-6B31-4360-9713-66795B6EA6EC}"/>
    <cellStyle name="60% - Énfasis4 9" xfId="4554" xr:uid="{D1605839-5C8C-4E42-BCC2-04A09891CC27}"/>
    <cellStyle name="60% - Énfasis5 10" xfId="4555" xr:uid="{D648410A-351B-4BCA-B61C-E6789C678BF8}"/>
    <cellStyle name="60% - Énfasis5 10 2" xfId="4556" xr:uid="{CBE39D2D-9EE5-48A5-B9BD-63B8557F1699}"/>
    <cellStyle name="60% - Énfasis5 11" xfId="4557" xr:uid="{FD4B177C-B950-4094-A655-48DEFFA3D79F}"/>
    <cellStyle name="60% - Énfasis5 11 2" xfId="4558" xr:uid="{B03518B2-6D84-4835-AD93-72F684F2A9EC}"/>
    <cellStyle name="60% - Énfasis5 12" xfId="4559" xr:uid="{E210ED24-C076-4700-BEE8-36F98E62892A}"/>
    <cellStyle name="60% - Énfasis5 12 2" xfId="4560" xr:uid="{9BE39037-7B07-45E9-B640-CE52C5652867}"/>
    <cellStyle name="60% - Énfasis5 13" xfId="4561" xr:uid="{AEE9451C-4108-457C-AC7B-E8791FD67891}"/>
    <cellStyle name="60% - Énfasis5 13 2" xfId="4562" xr:uid="{F2C8C758-7512-4788-A657-95DC22AEFF92}"/>
    <cellStyle name="60% - Énfasis5 14" xfId="4563" xr:uid="{C99FEB31-DE04-4526-BA81-60C049F97E74}"/>
    <cellStyle name="60% - Énfasis5 14 2" xfId="4564" xr:uid="{BEEF879D-2C18-4B76-9541-BDC1C353F817}"/>
    <cellStyle name="60% - Énfasis5 15" xfId="4565" xr:uid="{956CE188-9862-46E8-82C1-775605C9E473}"/>
    <cellStyle name="60% - Énfasis5 2" xfId="3325" xr:uid="{872A2E93-8EE7-4297-A160-92A15D15E9C0}"/>
    <cellStyle name="60% - Énfasis5 2 2" xfId="4566" xr:uid="{74F0FDB4-F6ED-4CE5-AD50-5595451C9E6D}"/>
    <cellStyle name="60% - Énfasis5 2 3" xfId="4567" xr:uid="{F7857057-8470-4DDF-B758-9C8D54A69519}"/>
    <cellStyle name="60% - Énfasis5 2 4" xfId="4568" xr:uid="{19F9D567-5CF8-4106-9023-F134D4EA09D1}"/>
    <cellStyle name="60% - Énfasis5 3" xfId="3326" xr:uid="{D30E12DB-37BA-424B-AFEA-B3941514A47C}"/>
    <cellStyle name="60% - Énfasis5 3 2" xfId="4569" xr:uid="{87A206BC-21E4-4D91-BA9D-C8AD591C6B5B}"/>
    <cellStyle name="60% - Énfasis5 3 3" xfId="4570" xr:uid="{34B6AFD6-F417-4DEC-875C-AC1F128E686D}"/>
    <cellStyle name="60% - Énfasis5 4" xfId="4571" xr:uid="{55BD5563-4662-4473-98FD-615B9FB9412F}"/>
    <cellStyle name="60% - Énfasis5 4 2" xfId="4572" xr:uid="{C673DC24-827B-44EE-AA06-99B092063D43}"/>
    <cellStyle name="60% - Énfasis5 4 3" xfId="4573" xr:uid="{11994B80-7A81-4A95-A297-B58D3835C729}"/>
    <cellStyle name="60% - Énfasis5 5" xfId="4574" xr:uid="{D05EEBFC-C3BC-402A-86C3-837ED4E9E266}"/>
    <cellStyle name="60% - Énfasis5 6" xfId="4575" xr:uid="{32E698D2-38F9-4BA6-AA77-D2F270D0ACCD}"/>
    <cellStyle name="60% - Énfasis5 7" xfId="4576" xr:uid="{2B9C7531-4F1E-413B-8B79-E689831AEEDF}"/>
    <cellStyle name="60% - Énfasis5 8" xfId="4577" xr:uid="{22ADDB63-8C6B-4B1B-B607-65A24CC7135D}"/>
    <cellStyle name="60% - Énfasis5 9" xfId="4578" xr:uid="{F0B37D75-172D-42EA-A593-16AE213FB253}"/>
    <cellStyle name="60% - Énfasis6 10" xfId="4579" xr:uid="{A246FE27-EFB3-4F0E-B87A-A5852166A68A}"/>
    <cellStyle name="60% - Énfasis6 10 2" xfId="4580" xr:uid="{DF4032BF-555D-4D23-8FA2-444240C21E59}"/>
    <cellStyle name="60% - Énfasis6 11" xfId="4581" xr:uid="{39FEFE79-B748-4038-BA69-182002DA11CD}"/>
    <cellStyle name="60% - Énfasis6 11 2" xfId="4582" xr:uid="{26392F38-3F1B-4B4A-BAB7-0525A88DFFEC}"/>
    <cellStyle name="60% - Énfasis6 12" xfId="4583" xr:uid="{259D007B-E06B-4A17-AC23-4BBD86479FC0}"/>
    <cellStyle name="60% - Énfasis6 12 2" xfId="4584" xr:uid="{1A598067-8B4A-4794-B8CB-9950A942C31A}"/>
    <cellStyle name="60% - Énfasis6 13" xfId="4585" xr:uid="{EF9E5F73-0ECD-4845-AD7E-BBAD702016F8}"/>
    <cellStyle name="60% - Énfasis6 13 2" xfId="4586" xr:uid="{F39123B2-2F3A-4D91-854E-E01406694DA2}"/>
    <cellStyle name="60% - Énfasis6 14" xfId="4587" xr:uid="{9DAC708B-1B86-4474-A225-59E9307E8562}"/>
    <cellStyle name="60% - Énfasis6 14 2" xfId="4588" xr:uid="{873E89E6-D050-4032-8375-1C03A069CF3D}"/>
    <cellStyle name="60% - Énfasis6 15" xfId="4589" xr:uid="{BFD9C435-554A-4103-8686-0B2E45B1F347}"/>
    <cellStyle name="60% - Énfasis6 2" xfId="3327" xr:uid="{196BD803-1B4F-47A0-858F-3C1407274035}"/>
    <cellStyle name="60% - Énfasis6 2 2" xfId="4590" xr:uid="{78C63418-E0E5-4A80-9CF4-982FA08736B4}"/>
    <cellStyle name="60% - Énfasis6 2 3" xfId="4591" xr:uid="{4551034B-939B-48AB-BA77-E62EC639BA60}"/>
    <cellStyle name="60% - Énfasis6 2 4" xfId="4592" xr:uid="{CCE768B7-2A84-41B6-BA81-F9D5846A0289}"/>
    <cellStyle name="60% - Énfasis6 3" xfId="3328" xr:uid="{09F31A6C-496F-4A6D-AAE1-FE204BFB400A}"/>
    <cellStyle name="60% - Énfasis6 3 2" xfId="4593" xr:uid="{8D102C91-AF9E-47DE-A3C0-E42404A50DB8}"/>
    <cellStyle name="60% - Énfasis6 3 3" xfId="4594" xr:uid="{D67291B9-DA3B-46F5-9641-1D72F6E018E3}"/>
    <cellStyle name="60% - Énfasis6 4" xfId="4595" xr:uid="{A3F36DF8-2468-42B9-A643-22FA28520992}"/>
    <cellStyle name="60% - Énfasis6 4 2" xfId="4596" xr:uid="{F30DA8FD-AC63-465C-9823-8E64C54CD92E}"/>
    <cellStyle name="60% - Énfasis6 4 3" xfId="4597" xr:uid="{3A0811B8-8724-46E3-8A29-2CF9F04E4A7B}"/>
    <cellStyle name="60% - Énfasis6 5" xfId="4598" xr:uid="{0641A9BB-F48E-4823-B848-AB906E3150A9}"/>
    <cellStyle name="60% - Énfasis6 6" xfId="4599" xr:uid="{307CB6D7-6A53-49AB-A47A-D5B0FCD7813C}"/>
    <cellStyle name="60% - Énfasis6 7" xfId="4600" xr:uid="{E6C0C0B6-6BE5-40EC-85BB-FB1025CFF6BC}"/>
    <cellStyle name="60% - Énfasis6 8" xfId="4601" xr:uid="{1B9EF331-CC0D-4FB9-B708-34BECE69B9C7}"/>
    <cellStyle name="60% - Énfasis6 9" xfId="4602" xr:uid="{52BC05F1-4B00-4866-927D-4BEC947A46F4}"/>
    <cellStyle name="AA" xfId="920" xr:uid="{F3A556D3-BCAD-420D-A378-A82D967A142A}"/>
    <cellStyle name="AA 10" xfId="3329" xr:uid="{178AA99E-5593-4A8B-BB35-3287BE05DA24}"/>
    <cellStyle name="AA 2" xfId="3330" xr:uid="{09DB4523-AE06-44DF-B488-1D7C2B7A8E9D}"/>
    <cellStyle name="AA 3" xfId="3331" xr:uid="{FA8BCD05-FA8D-46D2-9E03-9B3D1B371F1B}"/>
    <cellStyle name="AA 4" xfId="3332" xr:uid="{C62722D2-8362-48F6-9B5A-AB2F1E5F56BC}"/>
    <cellStyle name="AA 5" xfId="3333" xr:uid="{119035B0-3475-4066-AD3D-634FA19A8253}"/>
    <cellStyle name="AA 6" xfId="3334" xr:uid="{889154E9-E37A-4DE4-BF40-D80BFC9C5C27}"/>
    <cellStyle name="AA 7" xfId="3335" xr:uid="{0DD2D1D8-FCD4-402F-B593-011C2C1436F9}"/>
    <cellStyle name="AA 8" xfId="3336" xr:uid="{2C71DEA5-D9F0-494F-93D4-E3E4AAB542B5}"/>
    <cellStyle name="AA 9" xfId="3337" xr:uid="{35FF8EEA-F021-4252-A1E6-8293087BE82A}"/>
    <cellStyle name="AA_TRANSELCA" xfId="3338" xr:uid="{FDE3F3F2-8E33-4532-9A52-9649D1B1941E}"/>
    <cellStyle name="Actual Date" xfId="921" xr:uid="{D92BD32F-1EB2-4A9B-AA81-CFE77C5BF599}"/>
    <cellStyle name="Actual Date 2" xfId="922" xr:uid="{28377131-56BA-4A00-BFC2-982DE92A78B3}"/>
    <cellStyle name="Actual Date 2 2" xfId="923" xr:uid="{E38478A7-C49A-4E94-8237-E1AAF7D949A9}"/>
    <cellStyle name="Actual Date 2 3" xfId="924" xr:uid="{CABF5152-8EF5-42BF-9BE8-E8E770E0DFC2}"/>
    <cellStyle name="Actual Date 2 4" xfId="925" xr:uid="{B587B0B3-E143-45BD-9390-0CE04FA5DB30}"/>
    <cellStyle name="Actual Date 2 5" xfId="926" xr:uid="{14F5867B-AE96-4AE9-85FF-26DC9EA56103}"/>
    <cellStyle name="Actual Date 2 6" xfId="927" xr:uid="{D67EFCAA-959E-48F4-9A5A-A939A460D20F}"/>
    <cellStyle name="Actual Date 2 7" xfId="928" xr:uid="{9608FF67-F466-41F8-B951-8582D6042782}"/>
    <cellStyle name="Actual Date 2 8" xfId="929" xr:uid="{DC1D611F-5B6B-431C-9CAF-F1E24CB33CCD}"/>
    <cellStyle name="Actual Date 2_ActiFijos" xfId="930" xr:uid="{10FBBEE0-AACC-4D99-A093-3CDFBA8A630D}"/>
    <cellStyle name="Actual Date 3" xfId="931" xr:uid="{9C8EAB03-D078-4C2A-AEAF-2320B6DED9ED}"/>
    <cellStyle name="Actual Date 3 2" xfId="932" xr:uid="{BDB3137E-9D37-4298-A999-FECDFF3C5759}"/>
    <cellStyle name="Actual Date 3 3" xfId="933" xr:uid="{975DC6B6-1FA8-40CD-8772-5929AEBAE01A}"/>
    <cellStyle name="Actual Date 3 4" xfId="934" xr:uid="{8F77E5E7-225F-4FAF-86F7-413830710FEE}"/>
    <cellStyle name="Actual Date 3 5" xfId="935" xr:uid="{85014C20-2A47-495C-8A50-32330971BCDD}"/>
    <cellStyle name="Actual Date 3 6" xfId="936" xr:uid="{783CDEE7-CA26-40E6-8E0E-63003F4510EE}"/>
    <cellStyle name="Actual Date 3 7" xfId="937" xr:uid="{B0F3D3D5-AA40-44EE-BE93-BB3759C8F62B}"/>
    <cellStyle name="Actual Date 3 8" xfId="938" xr:uid="{DFFF747C-91EB-4C5E-A979-22E276E6D033}"/>
    <cellStyle name="Actual Date 3_ActiFijos" xfId="939" xr:uid="{C75FD5CD-253E-4082-969B-E27D2F0BB0C6}"/>
    <cellStyle name="Actual Date 4" xfId="940" xr:uid="{948847CE-F788-4035-8A88-8DD79F2D50D6}"/>
    <cellStyle name="Actual Date 4 2" xfId="941" xr:uid="{6B5881EB-B1E7-45BD-A2F9-2F813665F23E}"/>
    <cellStyle name="Actual Date 4 3" xfId="942" xr:uid="{EFF23B9B-783C-4712-9878-15BFF9CAB4BB}"/>
    <cellStyle name="Actual Date 4 4" xfId="943" xr:uid="{DB3400CC-825F-4D32-A4C7-A478D5B2C630}"/>
    <cellStyle name="Actual Date 4 5" xfId="944" xr:uid="{60B2EB92-049F-40B5-9AF9-9F21B87D3B74}"/>
    <cellStyle name="Actual Date 4 6" xfId="945" xr:uid="{262EB159-0911-438C-BE94-D6D9047C2060}"/>
    <cellStyle name="Actual Date 4 7" xfId="946" xr:uid="{E9E30BE2-5C0F-446A-AAC0-E6623F04890B}"/>
    <cellStyle name="Actual Date 4 8" xfId="947" xr:uid="{7DBC05E9-8EFF-4409-8E80-F836DEA40952}"/>
    <cellStyle name="Actual Date 4_ActiFijos" xfId="948" xr:uid="{E77F6C64-61E2-4FA9-893D-34B6147853FA}"/>
    <cellStyle name="Actual Date_Bases_Generales" xfId="949" xr:uid="{22D4AD26-83D2-452A-B807-2EA91E4DE9F8}"/>
    <cellStyle name="año" xfId="950" xr:uid="{F59F3993-807E-4116-8533-D30817448613}"/>
    <cellStyle name="año 2" xfId="951" xr:uid="{DA263924-D02A-46BB-844E-A40DA2646FA3}"/>
    <cellStyle name="año 2 2" xfId="952" xr:uid="{14A0DF7C-70DB-4FE4-9BC0-850C2EAF7093}"/>
    <cellStyle name="año 2 2 2" xfId="953" xr:uid="{493481FD-7728-447E-9387-6D5A9FAF04AC}"/>
    <cellStyle name="año 2 2 2 2" xfId="954" xr:uid="{80CB8811-E9AC-4E52-9E9E-A8CB6EBC380E}"/>
    <cellStyle name="año 2 2 2 3" xfId="955" xr:uid="{743438FE-FCCF-4A1F-8F46-A20813B0A435}"/>
    <cellStyle name="año 2 2 2_Deuda septiembre_marcos" xfId="956" xr:uid="{639AC759-D900-43B4-8B77-AC9175BEA840}"/>
    <cellStyle name="año 2 2 3" xfId="957" xr:uid="{A1F13E70-979A-423E-A5C1-D1C707D8109F}"/>
    <cellStyle name="año 2 2 4" xfId="958" xr:uid="{34A5FE0E-59B6-43A4-9B54-017DE386659F}"/>
    <cellStyle name="año 2 2_Deuda septiembre_marcos" xfId="959" xr:uid="{B07B536B-1FEB-4046-8FCA-42DE1F011900}"/>
    <cellStyle name="año 2 3" xfId="960" xr:uid="{56C5E2BE-EAD5-4840-A3D6-804DA0656FB2}"/>
    <cellStyle name="año 2 3 2" xfId="961" xr:uid="{E88215E8-CB2B-4D75-B9D7-50662BDF64B4}"/>
    <cellStyle name="año 2 3 2 2" xfId="962" xr:uid="{1F2128FF-2296-4CED-BFEB-8C9372A42AF0}"/>
    <cellStyle name="año 2 3 2 3" xfId="963" xr:uid="{E8F47D0E-14BA-4AC1-AB64-D83B6962AA40}"/>
    <cellStyle name="año 2 3 2_Deuda septiembre_marcos" xfId="964" xr:uid="{F6011145-509F-4901-8A6F-78F795C7B6AF}"/>
    <cellStyle name="año 2 3 3" xfId="965" xr:uid="{C3D8A3AB-B9A0-48F9-B65A-98BE1E2CB10F}"/>
    <cellStyle name="año 2 3 4" xfId="966" xr:uid="{34FC7320-DBC3-42F6-A478-B7AB0AC6FF4C}"/>
    <cellStyle name="año 2 3_Deuda septiembre_marcos" xfId="967" xr:uid="{71C1BFF8-700C-4D9F-8588-8F056FFCE8E2}"/>
    <cellStyle name="año 2 4" xfId="968" xr:uid="{AF9DA80A-5B04-4349-964E-D5BCF71A0F29}"/>
    <cellStyle name="año 2 4 2" xfId="969" xr:uid="{8DD90EF7-53D4-4D1F-9EA3-CAFAA20E532B}"/>
    <cellStyle name="año 2 4 2 2" xfId="970" xr:uid="{C53F10FF-2994-4EB0-8108-5FC55E106BE3}"/>
    <cellStyle name="año 2 4 2 3" xfId="971" xr:uid="{4580150D-DA79-4A92-9946-BC9B4BD10962}"/>
    <cellStyle name="año 2 4 2_Deuda septiembre_marcos" xfId="972" xr:uid="{80E5E2F8-547E-4A58-BF3E-A9AB4E8C150D}"/>
    <cellStyle name="año 2 4 3" xfId="973" xr:uid="{BD4AD9E4-1BDB-40AD-AB75-8B82B70C5FFA}"/>
    <cellStyle name="año 2 4 4" xfId="974" xr:uid="{3155343B-5BEC-4C9C-BF69-04D7EBB1A983}"/>
    <cellStyle name="año 2 4_Deuda septiembre_marcos" xfId="975" xr:uid="{2C375EB5-AAD2-4E00-9DBB-3CA08EED2337}"/>
    <cellStyle name="año 2 5" xfId="976" xr:uid="{5A5111AC-44A0-4269-B0F8-4026D68C72B9}"/>
    <cellStyle name="año 2 5 2" xfId="977" xr:uid="{0134C32B-7BCC-4209-871A-2ECCFD8A87FD}"/>
    <cellStyle name="año 2 5 3" xfId="978" xr:uid="{62B38E7D-06FA-4AAE-B7F7-007808DEB956}"/>
    <cellStyle name="año 2 5_Deuda septiembre_marcos" xfId="979" xr:uid="{2B386781-03C5-4C73-BCC3-5C7B5BEC27B5}"/>
    <cellStyle name="año 2 6" xfId="980" xr:uid="{508BA3A7-F6C8-4025-BAE9-BB9B606B5C0E}"/>
    <cellStyle name="año 2 6 2" xfId="981" xr:uid="{8CD60D3D-45E6-4E70-A473-76137C4EC483}"/>
    <cellStyle name="año 2 6 3" xfId="982" xr:uid="{1D5DCE20-80A9-4663-AC35-750E939663BF}"/>
    <cellStyle name="año 2 6_Deuda septiembre_marcos" xfId="983" xr:uid="{E2AD5D62-34D0-4B2A-898D-22C4DC115999}"/>
    <cellStyle name="año 2 7" xfId="984" xr:uid="{52AF6E09-DD36-4E38-B7EF-6A648B12A24C}"/>
    <cellStyle name="año 2 8" xfId="985" xr:uid="{FEB967C0-342A-47EC-A096-C51376845E2F}"/>
    <cellStyle name="año 2_ActiFijos" xfId="986" xr:uid="{FC76906A-63C1-47A3-B5E7-D2B5B428C2C2}"/>
    <cellStyle name="año 3" xfId="987" xr:uid="{285C11F4-B03F-4D79-8A3A-342314BA51CE}"/>
    <cellStyle name="año 3 2" xfId="988" xr:uid="{C21AD172-D308-4F50-8A4A-774C102EFB98}"/>
    <cellStyle name="año 3 2 2" xfId="989" xr:uid="{B518E8DC-91BC-4AD7-9EA1-E8769C5B9020}"/>
    <cellStyle name="año 3 2 2 2" xfId="990" xr:uid="{CFEC5337-571D-47BE-9079-92C0C78CA4C0}"/>
    <cellStyle name="año 3 2 2 3" xfId="991" xr:uid="{1DDB2235-46C8-46DB-891F-D2DF82EDF2E4}"/>
    <cellStyle name="año 3 2 2_Deuda septiembre_marcos" xfId="992" xr:uid="{3ECB32F3-4505-4DC5-B20B-E52B90FA03CA}"/>
    <cellStyle name="año 3 2 3" xfId="993" xr:uid="{3011DED4-1743-47C4-967C-4B248B3BE227}"/>
    <cellStyle name="año 3 2 4" xfId="994" xr:uid="{97DEFAE4-8F3F-4079-8B79-A30E3B734305}"/>
    <cellStyle name="año 3 2_Deuda septiembre_marcos" xfId="995" xr:uid="{20B47671-9863-41F3-8288-C30318D074F6}"/>
    <cellStyle name="año 3 3" xfId="996" xr:uid="{579E930A-15BC-4C3F-93F6-609A23CC0C9C}"/>
    <cellStyle name="año 3 3 2" xfId="997" xr:uid="{192395CA-EF8C-4293-93BF-5A5A78DE805D}"/>
    <cellStyle name="año 3 3 2 2" xfId="998" xr:uid="{1BF3299E-C908-4CEB-9F5A-7D51DB86D40D}"/>
    <cellStyle name="año 3 3 2 3" xfId="999" xr:uid="{055ED23E-63C3-4CE5-AEFC-FAFA0B8BE3DD}"/>
    <cellStyle name="año 3 3 2_Deuda septiembre_marcos" xfId="1000" xr:uid="{C69E2C0D-610A-440E-B83A-A55813E1EDC6}"/>
    <cellStyle name="año 3 3 3" xfId="1001" xr:uid="{B5343C71-C57B-4CF4-A948-9275EAF7ED17}"/>
    <cellStyle name="año 3 3 4" xfId="1002" xr:uid="{A40D1866-F29D-4C65-97F2-A30C3D9A7915}"/>
    <cellStyle name="año 3 3_Deuda septiembre_marcos" xfId="1003" xr:uid="{5E32C7B4-4395-4767-AC09-657BBADB06A2}"/>
    <cellStyle name="año 3 4" xfId="1004" xr:uid="{094F7BC6-AB29-4E60-BAF7-1CA5D30361A7}"/>
    <cellStyle name="año 3 4 2" xfId="1005" xr:uid="{77DC1355-4987-45D5-BC2C-1B36428FC954}"/>
    <cellStyle name="año 3 4 2 2" xfId="1006" xr:uid="{0C69CCC3-F1B8-47C8-ADB8-F83C2E89D651}"/>
    <cellStyle name="año 3 4 2 3" xfId="1007" xr:uid="{EA660B32-3DE8-4A35-A968-F707FEA32EE9}"/>
    <cellStyle name="año 3 4 2_Deuda septiembre_marcos" xfId="1008" xr:uid="{BD49A222-CE10-4574-B4EE-6624DA3AB293}"/>
    <cellStyle name="año 3 4 3" xfId="1009" xr:uid="{5F60F77C-088E-4F10-A644-AB3C8C7F61F0}"/>
    <cellStyle name="año 3 4 4" xfId="1010" xr:uid="{F37D2DA8-1CCE-4858-8827-9F5FE631B9AB}"/>
    <cellStyle name="año 3 4_Deuda septiembre_marcos" xfId="1011" xr:uid="{C457A7B1-E5DE-432E-81FD-88E3AE9C2858}"/>
    <cellStyle name="año 3 5" xfId="1012" xr:uid="{6C5A3347-1BB9-434C-A193-76DC2ED77888}"/>
    <cellStyle name="año 3 5 2" xfId="1013" xr:uid="{7DC2BC04-F78C-4900-B3B4-27DE67E1CD06}"/>
    <cellStyle name="año 3 5 3" xfId="1014" xr:uid="{8651E6D1-07A5-42AE-9395-C29369AC9FA7}"/>
    <cellStyle name="año 3 5_Deuda septiembre_marcos" xfId="1015" xr:uid="{A5DDCAB3-93AF-48D1-987A-0CEEA2756B39}"/>
    <cellStyle name="año 3 6" xfId="1016" xr:uid="{7BBBBE74-A44B-45D4-9821-D8BFF3C379FE}"/>
    <cellStyle name="año 3 6 2" xfId="1017" xr:uid="{FF9EEA1D-2493-4F71-AE5B-8DDD2C4D88D4}"/>
    <cellStyle name="año 3 6 3" xfId="1018" xr:uid="{889A0AFD-57EB-4D15-8070-9B7073C433D4}"/>
    <cellStyle name="año 3 6_Deuda septiembre_marcos" xfId="1019" xr:uid="{793D36F4-4419-4E38-8055-B000817AC590}"/>
    <cellStyle name="año 3 7" xfId="1020" xr:uid="{60F74186-0AB6-4439-83BB-5724FA8BD637}"/>
    <cellStyle name="año 3 8" xfId="1021" xr:uid="{555CE0E6-53FD-4734-A266-4D7BBBD12623}"/>
    <cellStyle name="año 3_ActiFijos" xfId="1022" xr:uid="{655CDF2D-5ED8-4F73-AD95-852D72B3333A}"/>
    <cellStyle name="año 4" xfId="1023" xr:uid="{A4631EE7-90AE-426B-B9D9-1687D08D5D67}"/>
    <cellStyle name="año 4 2" xfId="1024" xr:uid="{38CA31FF-979A-452F-9E2E-3929D4E92890}"/>
    <cellStyle name="año 4 2 2" xfId="1025" xr:uid="{BAA9330A-72CD-4DCC-9411-459C5BC4DB79}"/>
    <cellStyle name="año 4 2 2 2" xfId="1026" xr:uid="{356F5ECA-DA75-413D-9B9C-4DA0AFEECFE4}"/>
    <cellStyle name="año 4 2 2 3" xfId="1027" xr:uid="{288E5AD7-DFA8-4C3C-BF84-891B5B7B9673}"/>
    <cellStyle name="año 4 2 2_Deuda septiembre_marcos" xfId="1028" xr:uid="{CB7388D1-E39F-47B1-989A-5DC5A11F3157}"/>
    <cellStyle name="año 4 2 3" xfId="1029" xr:uid="{7C5015FE-BA3A-4DC7-B79B-6D004B91BF81}"/>
    <cellStyle name="año 4 2 4" xfId="1030" xr:uid="{11413704-9F9F-40EA-B4F3-2C7802AA9EA9}"/>
    <cellStyle name="año 4 2_Deuda septiembre_marcos" xfId="1031" xr:uid="{7731A364-885F-4627-BD3C-4F28E7CF80B2}"/>
    <cellStyle name="año 4 3" xfId="1032" xr:uid="{904690B9-2A86-4492-9094-A35605971645}"/>
    <cellStyle name="año 4 3 2" xfId="1033" xr:uid="{028D978D-B765-486E-AD50-112763AEEA72}"/>
    <cellStyle name="año 4 3 2 2" xfId="1034" xr:uid="{E6EA9314-6662-4534-86A6-9DE447DEDCA2}"/>
    <cellStyle name="año 4 3 2 3" xfId="1035" xr:uid="{5E3B02FE-2CB1-4080-B9BC-FDDE2CFD1854}"/>
    <cellStyle name="año 4 3 2_Deuda septiembre_marcos" xfId="1036" xr:uid="{EEC4C9D7-A29D-4967-AF82-9AC760192466}"/>
    <cellStyle name="año 4 3 3" xfId="1037" xr:uid="{70E82D47-7E0F-4038-A6BC-D8DB076EACDD}"/>
    <cellStyle name="año 4 3 4" xfId="1038" xr:uid="{4534B054-022A-4EBA-8DA0-1CBAB0F16070}"/>
    <cellStyle name="año 4 3_Deuda septiembre_marcos" xfId="1039" xr:uid="{20AC07A8-5654-4E2F-A7A6-C6E7AFDBD3A0}"/>
    <cellStyle name="año 4 4" xfId="1040" xr:uid="{18BF331F-5862-4B96-B30D-04BDE6BAE197}"/>
    <cellStyle name="año 4 4 2" xfId="1041" xr:uid="{4101894B-639B-4C7B-A7B4-FA3F95F52FB1}"/>
    <cellStyle name="año 4 4 2 2" xfId="1042" xr:uid="{63A5026A-C1C9-44C5-A2C8-DA17531BA6A7}"/>
    <cellStyle name="año 4 4 2 3" xfId="1043" xr:uid="{312A34FF-60B0-40D6-97F9-C01095BCE0BB}"/>
    <cellStyle name="año 4 4 2_Deuda septiembre_marcos" xfId="1044" xr:uid="{6D7DACB7-F0CC-498C-BFB5-D904C5FA4FDB}"/>
    <cellStyle name="año 4 4 3" xfId="1045" xr:uid="{6D473282-B92F-4B70-9B65-0607B58E7587}"/>
    <cellStyle name="año 4 4 4" xfId="1046" xr:uid="{22CD5839-7F74-4495-A538-57AFCD3134C1}"/>
    <cellStyle name="año 4 4_Deuda septiembre_marcos" xfId="1047" xr:uid="{2CAF21D0-CE7C-42AB-A59A-A3105B1F60AE}"/>
    <cellStyle name="año 4 5" xfId="1048" xr:uid="{088A5209-9A20-4269-AE51-CF78472D8DA9}"/>
    <cellStyle name="año 4 5 2" xfId="1049" xr:uid="{58AA055E-113C-4B78-B504-1A615FF7F4F5}"/>
    <cellStyle name="año 4 5 3" xfId="1050" xr:uid="{4BF17EE3-B1AF-4522-A9C3-F1225117D436}"/>
    <cellStyle name="año 4 5_Deuda septiembre_marcos" xfId="1051" xr:uid="{B98CA3C0-DF27-4594-9590-8154F6DD7886}"/>
    <cellStyle name="año 4 6" xfId="1052" xr:uid="{E7CCC09D-8935-4D47-AF7D-0BC1C2CD15F1}"/>
    <cellStyle name="año 4 6 2" xfId="1053" xr:uid="{0F426199-3E62-451A-8BAF-621CF2EA2C34}"/>
    <cellStyle name="año 4 6 3" xfId="1054" xr:uid="{29B39082-5037-46E6-8DF1-52A6978F5F40}"/>
    <cellStyle name="año 4 6_Deuda septiembre_marcos" xfId="1055" xr:uid="{B1276AC5-0493-47A9-AE13-27EF852A8362}"/>
    <cellStyle name="año 4 7" xfId="1056" xr:uid="{149F433C-E182-4B4E-897D-5199B71C575D}"/>
    <cellStyle name="año 4 8" xfId="1057" xr:uid="{2D4EA267-B6E1-466D-B8EE-93773631B295}"/>
    <cellStyle name="año 4_ActiFijos" xfId="1058" xr:uid="{296E36EC-5CE9-4737-A9B1-558DE78C7AB4}"/>
    <cellStyle name="año 5" xfId="1059" xr:uid="{FF7B71ED-171C-4029-9122-317F4CB98291}"/>
    <cellStyle name="año 5 2" xfId="1060" xr:uid="{5412E46C-CD48-43D4-84C8-F692B70FD89C}"/>
    <cellStyle name="año 5 3" xfId="1061" xr:uid="{5049CAA7-8459-448B-AB2B-D4544CAA21C7}"/>
    <cellStyle name="año 5_Deuda septiembre_marcos" xfId="1062" xr:uid="{52E074B7-3C83-46C2-885F-326D0F087F40}"/>
    <cellStyle name="año 6" xfId="1063" xr:uid="{00AF13B2-F52A-40D8-8272-72ED6501F220}"/>
    <cellStyle name="año 6 2" xfId="1064" xr:uid="{26897703-B061-467F-A275-C9D2A3E2913D}"/>
    <cellStyle name="año 6_Deuda septiembre_marcos" xfId="1065" xr:uid="{87262108-04C7-49BC-A688-46B381D15665}"/>
    <cellStyle name="año 7" xfId="1066" xr:uid="{268590F5-8F8E-4AC3-8FB6-578983B0E25C}"/>
    <cellStyle name="año 7 2" xfId="1067" xr:uid="{89410332-2FBC-4721-9F0C-C663270013EF}"/>
    <cellStyle name="año 7_Deuda septiembre_marcos" xfId="1068" xr:uid="{A040949F-A718-4091-80BE-ECA64B5941FE}"/>
    <cellStyle name="año 8" xfId="1069" xr:uid="{41383818-AC46-4BBA-BB9E-A8206492B1E9}"/>
    <cellStyle name="año 9" xfId="1070" xr:uid="{97C2178D-56D5-4130-B29C-70F95168D052}"/>
    <cellStyle name="año_Bases_Generales" xfId="1071" xr:uid="{291EAD60-4E43-4CC1-A7B4-0ACA53C8DE6D}"/>
    <cellStyle name="basis points" xfId="1072" xr:uid="{92125A21-8FAD-4256-8EDE-14325F5C5533}"/>
    <cellStyle name="basis points 2" xfId="1073" xr:uid="{AE7E9EEF-F2B1-4E6A-8251-91C5E16D4764}"/>
    <cellStyle name="basis points 2 2" xfId="1074" xr:uid="{E68B5066-3916-49BD-85ED-7F54C29BB276}"/>
    <cellStyle name="basis points 2 2 2" xfId="4603" xr:uid="{7AC129D6-F055-4BFD-B2DF-B3495679FCFD}"/>
    <cellStyle name="basis points 2 3" xfId="1075" xr:uid="{3D9C83A3-64C3-41B1-B846-806DAFA0F3AA}"/>
    <cellStyle name="basis points 2 3 2" xfId="4604" xr:uid="{5F37C14C-2FDD-40B5-B215-563103DBBE92}"/>
    <cellStyle name="basis points 2 4" xfId="1076" xr:uid="{F6A93B2B-215E-49FA-90AB-F4EC200B2FE8}"/>
    <cellStyle name="basis points 2 4 2" xfId="4605" xr:uid="{1C95B2E1-98FF-4246-B7B7-07AE46E560F6}"/>
    <cellStyle name="basis points 2 5" xfId="1077" xr:uid="{117BE2DE-B408-4B52-A3EE-053FF6D2DF64}"/>
    <cellStyle name="basis points 2 5 2" xfId="4606" xr:uid="{4CFEB2A2-2380-4BCC-9E20-0F706A5CECEE}"/>
    <cellStyle name="basis points 2 6" xfId="1078" xr:uid="{314D9829-7E76-48FC-953D-ECBFFEEF4DE4}"/>
    <cellStyle name="basis points 2 6 2" xfId="4607" xr:uid="{65311581-6481-4985-9556-63F4BC4226DE}"/>
    <cellStyle name="basis points 2 7" xfId="1079" xr:uid="{1724F07E-BC6D-4C4F-9E79-BEDA4005BC37}"/>
    <cellStyle name="basis points 2 8" xfId="1080" xr:uid="{F60C1B62-1E95-4B0C-BBDE-4F3DD129FFEA}"/>
    <cellStyle name="basis points 3" xfId="1081" xr:uid="{FC18F532-FE0C-48DC-991D-1A99E0BEACF4}"/>
    <cellStyle name="basis points 3 2" xfId="1082" xr:uid="{0C9C4DAC-22C3-4C1C-943B-89F053C4406A}"/>
    <cellStyle name="basis points 3 2 2" xfId="4608" xr:uid="{973A9D57-0BF4-4620-B6F1-B6BAAC14A91B}"/>
    <cellStyle name="basis points 3 3" xfId="1083" xr:uid="{DC88BDAC-0BE8-4ADE-AC51-026C229192C9}"/>
    <cellStyle name="basis points 3 3 2" xfId="4609" xr:uid="{AA58B1ED-5DAD-4A3F-AB79-BAAAE9649060}"/>
    <cellStyle name="basis points 3 4" xfId="1084" xr:uid="{E02FF48C-116A-45AB-82E8-CBC903A2F16F}"/>
    <cellStyle name="basis points 3 4 2" xfId="4610" xr:uid="{DC22D45F-47DC-424B-8951-9494E871EFBC}"/>
    <cellStyle name="basis points 3 5" xfId="1085" xr:uid="{7802EE9E-0599-4FEF-A2E6-878F114CB0CD}"/>
    <cellStyle name="basis points 3 5 2" xfId="4611" xr:uid="{62D5A3DE-E3F5-4603-BFCF-FFE7063CE494}"/>
    <cellStyle name="basis points 3 6" xfId="1086" xr:uid="{F59A7337-1619-4530-8C71-DD234E3BC95E}"/>
    <cellStyle name="basis points 3 6 2" xfId="4612" xr:uid="{249A6950-7FC6-48EC-9496-4283ECC2F627}"/>
    <cellStyle name="basis points 3 7" xfId="1087" xr:uid="{A40ADD61-4CD2-40E9-B6EE-65E4AFF98DB0}"/>
    <cellStyle name="basis points 3 8" xfId="1088" xr:uid="{7603BFC8-E292-4935-B8F4-8216F9665910}"/>
    <cellStyle name="basis points 4" xfId="1089" xr:uid="{05EA1695-9C8D-46AF-917A-D02ED6A38AFB}"/>
    <cellStyle name="basis points 4 2" xfId="1090" xr:uid="{496EAF2C-858C-4F57-BEB7-31829CAAA95E}"/>
    <cellStyle name="basis points 4 2 2" xfId="4613" xr:uid="{F2D956CE-CCFE-4410-B05F-36E9B062FAB8}"/>
    <cellStyle name="basis points 4 3" xfId="1091" xr:uid="{638E5520-5BD9-4AD1-8E20-38B82C705CEA}"/>
    <cellStyle name="basis points 4 3 2" xfId="4614" xr:uid="{01563842-D963-4A59-81A5-0231810EAD38}"/>
    <cellStyle name="basis points 4 4" xfId="1092" xr:uid="{6BD3E8F0-C093-46E0-A4C7-B0D51F646E40}"/>
    <cellStyle name="basis points 4 4 2" xfId="4615" xr:uid="{A6FBCFB3-A4AD-4945-8EC5-9075F74B72DC}"/>
    <cellStyle name="basis points 4 5" xfId="1093" xr:uid="{BC4E9C34-1294-4EC4-9CD4-063EF887141B}"/>
    <cellStyle name="basis points 4 5 2" xfId="4616" xr:uid="{C4BF156C-5165-42A0-A4A7-219D6F3F26DB}"/>
    <cellStyle name="basis points 4 6" xfId="1094" xr:uid="{FEC21E60-F3A4-491E-A313-455120617523}"/>
    <cellStyle name="basis points 4 6 2" xfId="4617" xr:uid="{B9B58B79-8B8F-4045-8502-244BAD9B833D}"/>
    <cellStyle name="basis points 4 7" xfId="1095" xr:uid="{AFD31A26-88E2-43BE-8AEB-79506B832BCD}"/>
    <cellStyle name="basis points 4 8" xfId="1096" xr:uid="{1B10F838-8A4C-4759-A5B8-FD505D7A82B9}"/>
    <cellStyle name="basis points 5" xfId="4618" xr:uid="{62A0DC95-96F9-4A8C-90B9-872DF9F0E16B}"/>
    <cellStyle name="bb" xfId="1097" xr:uid="{FA9E0FFC-D35C-422C-900D-A9C883172664}"/>
    <cellStyle name="bb 10" xfId="3339" xr:uid="{70BE7103-1D5E-47E8-9608-AA2D5DA56725}"/>
    <cellStyle name="bb 2" xfId="3340" xr:uid="{42C375F7-7D0F-4329-9582-275F46B1C028}"/>
    <cellStyle name="bb 3" xfId="3341" xr:uid="{C50C853A-3E4A-44B3-9B13-20090982FD83}"/>
    <cellStyle name="bb 4" xfId="3342" xr:uid="{B27CD907-E66E-4E94-A4DF-0067FC899BD7}"/>
    <cellStyle name="bb 5" xfId="3343" xr:uid="{96C873D6-FD63-4630-A93C-A473211A95BD}"/>
    <cellStyle name="bb 6" xfId="3344" xr:uid="{15422F35-BF79-4FCE-B585-9C2939A16FA9}"/>
    <cellStyle name="bb 7" xfId="3345" xr:uid="{716C881F-722C-4EFF-81D2-5D58D7072190}"/>
    <cellStyle name="bb 8" xfId="3346" xr:uid="{EBF3D5B4-EA65-486E-B300-18F345BB6E0A}"/>
    <cellStyle name="bb 9" xfId="3347" xr:uid="{52F8ACC4-E0E4-4D51-ADCA-2E568651AE9F}"/>
    <cellStyle name="bb_TRANSELCA" xfId="3348" xr:uid="{8125D8C7-04CF-42EC-9B89-DF768079F2B1}"/>
    <cellStyle name="Bom" xfId="1098" xr:uid="{6A503FF6-85C1-4B97-A4E8-0AE705307DB2}"/>
    <cellStyle name="Buena 10" xfId="4619" xr:uid="{B6259774-2E83-4C7B-A2C9-2133257A2CDE}"/>
    <cellStyle name="Buena 10 2" xfId="4620" xr:uid="{69383DA0-A1BF-47C8-BD06-6A30B37EA9E8}"/>
    <cellStyle name="Buena 11" xfId="4621" xr:uid="{4D4F783D-D3A6-4E88-ADCA-0F0EEC3F9EB5}"/>
    <cellStyle name="Buena 11 2" xfId="4622" xr:uid="{CDE47505-4543-45BB-9F83-1F314ED21A5A}"/>
    <cellStyle name="Buena 12" xfId="4623" xr:uid="{35C03A06-1BB9-40F8-B84B-1E90E12472B8}"/>
    <cellStyle name="Buena 12 2" xfId="4624" xr:uid="{0163213F-CE94-46B1-B6C6-A2C8E91A640A}"/>
    <cellStyle name="Buena 13" xfId="4625" xr:uid="{E1279E75-F16E-4052-902B-5CBFE6DA1393}"/>
    <cellStyle name="Buena 13 2" xfId="4626" xr:uid="{9BF7FAC4-7816-4798-8630-AD5556C9E604}"/>
    <cellStyle name="Buena 14" xfId="4627" xr:uid="{B539B799-643E-4686-9CA9-DD1F9685C360}"/>
    <cellStyle name="Buena 14 2" xfId="4628" xr:uid="{939A6361-E3CD-4115-9B4B-0A833AE3C946}"/>
    <cellStyle name="Buena 15" xfId="4629" xr:uid="{54CF1C03-A2CC-48E8-AAAE-D644D56B8484}"/>
    <cellStyle name="Buena 2" xfId="3349" xr:uid="{513E18F9-FA0D-4526-AD40-AD342671B2B3}"/>
    <cellStyle name="Buena 2 2" xfId="4630" xr:uid="{214935D5-7BD6-4285-A4C2-1C5E85CBC967}"/>
    <cellStyle name="Buena 2 2 2" xfId="4631" xr:uid="{A263ECDF-BBEF-42DE-9B7F-9DFBAD93AB04}"/>
    <cellStyle name="Buena 2 3" xfId="4632" xr:uid="{16BF27CC-98D3-4387-9922-3F483CC75D72}"/>
    <cellStyle name="Buena 2 3 2" xfId="4633" xr:uid="{69A7AFCA-3CF9-4529-85E3-BC86C07D4751}"/>
    <cellStyle name="Buena 2 4" xfId="4634" xr:uid="{94AADC72-D3A9-47AE-8F3A-41C828E6B0A4}"/>
    <cellStyle name="Buena 3" xfId="3350" xr:uid="{DF2A567B-A959-440C-96C9-86142E96E11B}"/>
    <cellStyle name="Buena 3 2" xfId="4635" xr:uid="{DAE242C7-F3DE-4F1F-8BCB-005EB41E8A3E}"/>
    <cellStyle name="Buena 3 3" xfId="4636" xr:uid="{B4247451-D801-4FC0-89DF-DBB718C336C7}"/>
    <cellStyle name="Buena 4" xfId="4637" xr:uid="{2C44893A-7654-47E3-93F0-926AB7644275}"/>
    <cellStyle name="Buena 4 2" xfId="4638" xr:uid="{6E31537E-4434-46AB-80F0-A92F230BE8DE}"/>
    <cellStyle name="Buena 4 3" xfId="4639" xr:uid="{D77F1D8B-AA9C-4237-A95C-7B09DB255442}"/>
    <cellStyle name="Buena 5" xfId="4640" xr:uid="{534D9695-F8BD-40A2-87EA-3935F68ADDE8}"/>
    <cellStyle name="Buena 5 2" xfId="4641" xr:uid="{B42DC715-8CBD-4481-9626-958BBB90BAA3}"/>
    <cellStyle name="Buena 6" xfId="4642" xr:uid="{FF46411E-89BB-4F0A-993C-9B6CEB7E3476}"/>
    <cellStyle name="Buena 6 2" xfId="4643" xr:uid="{07E7B8F4-0D3A-41BC-8BA1-94AE62EFAFDD}"/>
    <cellStyle name="Buena 7" xfId="4644" xr:uid="{631EB9A1-FC4A-4C59-A3FE-6A651B3B0E72}"/>
    <cellStyle name="Buena 7 2" xfId="4645" xr:uid="{3254B2F1-7621-4C16-8915-44173B619A6D}"/>
    <cellStyle name="Buena 8" xfId="4646" xr:uid="{C9796869-70EB-4264-B9AA-9F44EEE2075E}"/>
    <cellStyle name="Buena 8 2" xfId="4647" xr:uid="{5E8295CF-097A-41E8-9239-6B4DC7DA4E40}"/>
    <cellStyle name="Buena 9" xfId="4648" xr:uid="{2C7459DD-CDFA-4D9A-8DA9-527441AB98DC}"/>
    <cellStyle name="Buena 9 2" xfId="4649" xr:uid="{3EE7A129-915B-49F2-AEEE-CFF614028E09}"/>
    <cellStyle name="Cabecera 1" xfId="3351" xr:uid="{E38A8A26-6AD5-4DD1-A70C-4210E17FED90}"/>
    <cellStyle name="Cabecera 2" xfId="3352" xr:uid="{42F1203F-3BF6-4D60-99AD-6364981C9E00}"/>
    <cellStyle name="Calculation" xfId="1099" xr:uid="{600C925A-847D-4772-A4C1-FCF0EFB6E6AA}"/>
    <cellStyle name="Cálculo 10" xfId="4650" xr:uid="{23AAB1BD-41EE-498F-A4FD-9CC592C892D7}"/>
    <cellStyle name="Cálculo 10 2" xfId="4651" xr:uid="{76DD7E86-C739-40FB-9129-D8E8BDA8E494}"/>
    <cellStyle name="Cálculo 11" xfId="4652" xr:uid="{29DF1912-22BC-4149-B1B2-32ADC6D81C34}"/>
    <cellStyle name="Cálculo 11 2" xfId="4653" xr:uid="{E5376BC2-45C7-44FD-BF26-C62CB5448765}"/>
    <cellStyle name="Cálculo 12" xfId="4654" xr:uid="{B95A27C1-D31F-4CD8-AA6C-8F34580186F5}"/>
    <cellStyle name="Cálculo 12 2" xfId="4655" xr:uid="{81C127C5-FA05-4936-96D4-597D0E705C49}"/>
    <cellStyle name="Cálculo 13" xfId="4656" xr:uid="{FA3D3690-6CBB-442E-BA0C-DAC5BC6E9689}"/>
    <cellStyle name="Cálculo 13 2" xfId="4657" xr:uid="{9DDB6217-4C82-4A78-8A58-7C259E12DD16}"/>
    <cellStyle name="Cálculo 14" xfId="4658" xr:uid="{1D302F3C-490E-4BB0-8ED9-565EB47872A8}"/>
    <cellStyle name="Cálculo 14 2" xfId="4659" xr:uid="{2BA04EAF-6D2C-4FA6-9909-73EDD6220CE0}"/>
    <cellStyle name="Cálculo 15" xfId="4660" xr:uid="{7F45376B-389A-4C1E-912E-EEDDF5CEC5B1}"/>
    <cellStyle name="Cálculo 15 2" xfId="4661" xr:uid="{F5959FC6-509B-4C3C-9DE8-FABEBD555210}"/>
    <cellStyle name="Cálculo 16" xfId="4662" xr:uid="{E5ABA733-618C-42B1-BEDB-CAC8161E2D97}"/>
    <cellStyle name="Cálculo 2" xfId="1100" xr:uid="{635D56B9-9445-48A5-B93E-F3E030B30B9B}"/>
    <cellStyle name="Cálculo 2 2" xfId="1101" xr:uid="{4D14A0AD-24C3-4FF8-ACD7-F65456CE8396}"/>
    <cellStyle name="Cálculo 2 2 2" xfId="4663" xr:uid="{EEA0C299-CBC6-4FE2-B406-FFAA52F94E3D}"/>
    <cellStyle name="Cálculo 2 2 3" xfId="4664" xr:uid="{5FAB63D1-5D21-4EC2-AE07-235684280514}"/>
    <cellStyle name="Cálculo 2 2 4" xfId="4665" xr:uid="{A9FF124B-885E-4748-AA39-97CCCCBB0EEA}"/>
    <cellStyle name="Cálculo 2 2 4 2" xfId="4666" xr:uid="{9E824F0B-42AD-4BE6-850C-2DB04F2B79CF}"/>
    <cellStyle name="Cálculo 2 3" xfId="4667" xr:uid="{54F7F66B-2196-43B0-9F6A-01D40D05E6B7}"/>
    <cellStyle name="Cálculo 2 4" xfId="4668" xr:uid="{EA3E6E41-C565-42CA-B7AF-F128EFBD6EDE}"/>
    <cellStyle name="Cálculo 2 4 2" xfId="4669" xr:uid="{E9B1458B-5A93-400D-B8D7-487B299B4109}"/>
    <cellStyle name="Cálculo 2 5" xfId="4670" xr:uid="{5CB38B6A-CB84-407C-8C86-07886A65327F}"/>
    <cellStyle name="Cálculo 2_Deuda septiembre_marcos" xfId="1102" xr:uid="{0176C96A-67B9-468F-AA40-6EEDC89A4101}"/>
    <cellStyle name="Cálculo 3" xfId="3353" xr:uid="{07B347B1-3080-4864-A9BE-25B3C1803FF9}"/>
    <cellStyle name="Cálculo 3 2" xfId="4671" xr:uid="{B7ACBD18-2D67-4867-BB4C-7DDCDE79BBF2}"/>
    <cellStyle name="Cálculo 3 3" xfId="4672" xr:uid="{D7455626-0E8A-43B5-96EB-7EB6D6896746}"/>
    <cellStyle name="Cálculo 4" xfId="4673" xr:uid="{DE59BB42-B8F5-4662-BB7F-3E6DF78EED9E}"/>
    <cellStyle name="Cálculo 4 2" xfId="4674" xr:uid="{3480E0F6-4B94-4C93-8FB1-BBA5693AC5C6}"/>
    <cellStyle name="Cálculo 4 3" xfId="4675" xr:uid="{5ACC1238-A901-4620-8DFB-AB49197FD0AF}"/>
    <cellStyle name="Cálculo 5" xfId="4676" xr:uid="{765E1254-0656-43E5-88BD-D3D07F3B65D2}"/>
    <cellStyle name="Cálculo 5 2" xfId="4677" xr:uid="{F25EF129-5F57-4AEA-9D41-22A234E186CE}"/>
    <cellStyle name="Cálculo 6" xfId="4678" xr:uid="{CA28CB07-B76E-4C66-BD84-FEC33D97218C}"/>
    <cellStyle name="Cálculo 6 2" xfId="4679" xr:uid="{12BD1083-C4CA-497F-AA3A-AECCF6203D69}"/>
    <cellStyle name="Cálculo 7" xfId="4680" xr:uid="{E76696D4-C83D-4D7F-A990-9F7019B40F5A}"/>
    <cellStyle name="Cálculo 7 2" xfId="4681" xr:uid="{B8A5C809-9D0D-428C-8214-60283C98C1C0}"/>
    <cellStyle name="Cálculo 8" xfId="4682" xr:uid="{8586EC8B-4DE9-42C9-9A2C-0A906CE58101}"/>
    <cellStyle name="Cálculo 8 2" xfId="4683" xr:uid="{85161CCF-7AF2-4EA0-8A06-7DB35BFE8EC3}"/>
    <cellStyle name="Cálculo 9" xfId="4684" xr:uid="{962BF147-6969-4866-A718-257B19582D08}"/>
    <cellStyle name="Cálculo 9 2" xfId="4685" xr:uid="{4E3498C2-6C29-4C55-B292-C26713B4E418}"/>
    <cellStyle name="CC" xfId="1103" xr:uid="{17D04109-B1C6-4016-A9A5-6567E3CA5018}"/>
    <cellStyle name="CC 10" xfId="3354" xr:uid="{A6700873-F20E-49F4-A90B-44B766DF2F8F}"/>
    <cellStyle name="CC 2" xfId="3355" xr:uid="{D24E38E5-C00D-4D75-BC17-9C7CC19EFD4E}"/>
    <cellStyle name="CC 3" xfId="3356" xr:uid="{BFA81201-CD23-470B-8255-9372CE3D51C3}"/>
    <cellStyle name="CC 4" xfId="3357" xr:uid="{44AD2AB9-4E77-4D98-970A-2B44EC47830F}"/>
    <cellStyle name="CC 5" xfId="3358" xr:uid="{384F9B08-4912-43F3-84E4-C9D8950B7582}"/>
    <cellStyle name="CC 6" xfId="3359" xr:uid="{B14267B9-E145-4BD7-8F52-83BBA71B7743}"/>
    <cellStyle name="CC 7" xfId="3360" xr:uid="{120090A4-B7EC-4A62-A2C3-E74E4B6E3B59}"/>
    <cellStyle name="CC 8" xfId="3361" xr:uid="{D539BFB9-1002-4CAD-8932-46483917A375}"/>
    <cellStyle name="CC 9" xfId="3362" xr:uid="{3A5D5994-FD52-4E91-8DC6-F5E683B400ED}"/>
    <cellStyle name="CC_TRANSELCA" xfId="3363" xr:uid="{C8561737-8E4C-44D1-83B1-AFF6C35B51B0}"/>
    <cellStyle name="Celda de comprobación 10" xfId="4686" xr:uid="{C1F6D307-230F-4438-9D03-A19EBBE0CC2E}"/>
    <cellStyle name="Celda de comprobación 11" xfId="4687" xr:uid="{57FF76E9-7475-4F8C-ACCA-EA177981F687}"/>
    <cellStyle name="Celda de comprobación 11 2" xfId="4688" xr:uid="{7D42F7D6-1EA1-4636-BC34-4F3C29139E34}"/>
    <cellStyle name="Celda de comprobación 12" xfId="4689" xr:uid="{92928470-B662-4141-A5AF-E971EDAEC58D}"/>
    <cellStyle name="Celda de comprobación 12 2" xfId="4690" xr:uid="{9A230A14-47DB-4D74-92E5-ABDB82483B7C}"/>
    <cellStyle name="Celda de comprobación 13" xfId="4691" xr:uid="{6285F98E-642E-4F3F-AE26-37BD55A8EF15}"/>
    <cellStyle name="Celda de comprobación 13 2" xfId="4692" xr:uid="{41B3D174-17A5-481D-ACD5-A58C0CB5E6C9}"/>
    <cellStyle name="Celda de comprobación 14" xfId="4693" xr:uid="{3581CAF3-35BD-4377-A9ED-9EC7C547BFA3}"/>
    <cellStyle name="Celda de comprobación 14 2" xfId="4694" xr:uid="{6967AD41-27BA-487E-9878-FCEFCAC7B86E}"/>
    <cellStyle name="Celda de comprobación 15" xfId="4695" xr:uid="{4B67604D-99BA-46C6-938F-BC1376D5F9AD}"/>
    <cellStyle name="Celda de comprobación 15 2" xfId="4696" xr:uid="{655D53E9-B1E9-45AE-8D68-10668957D127}"/>
    <cellStyle name="Celda de comprobación 16" xfId="4697" xr:uid="{5484BBE3-EE2A-4356-8C32-2494CDA4EF38}"/>
    <cellStyle name="Celda de comprobación 2" xfId="1104" xr:uid="{9FF381DA-0A19-430B-BE8A-DE896EF207C4}"/>
    <cellStyle name="Celda de comprobación 2 2" xfId="1105" xr:uid="{DA66972C-B973-4D97-B9C3-FF29904E14E7}"/>
    <cellStyle name="Celda de comprobación 2 2 2" xfId="4698" xr:uid="{4BDDD6DA-5539-471B-8A7C-21440F92BE75}"/>
    <cellStyle name="Celda de comprobación 2 2 3" xfId="4699" xr:uid="{CC176E92-D178-4567-8455-BFB86599CF57}"/>
    <cellStyle name="Celda de comprobación 2 2 4" xfId="4700" xr:uid="{B96A4A9F-CF8B-4024-A6F5-8F20C4C2F8B1}"/>
    <cellStyle name="Celda de comprobación 2 2 4 2" xfId="4701" xr:uid="{C93DF0E7-604A-47BD-891D-28C88A7FF216}"/>
    <cellStyle name="Celda de comprobación 2 3" xfId="4702" xr:uid="{4D4CCE19-2201-4235-AC1A-A0C706415B7E}"/>
    <cellStyle name="Celda de comprobación 2 4" xfId="4703" xr:uid="{287C289C-622F-4275-A2FA-5F28A40CBCD0}"/>
    <cellStyle name="Celda de comprobación 2 4 2" xfId="4704" xr:uid="{C1D04B8F-86A0-4E80-A055-A9F166D55087}"/>
    <cellStyle name="Celda de comprobación 2 5" xfId="4705" xr:uid="{B1A73354-3F07-47B5-90BE-F3B5D3BE7005}"/>
    <cellStyle name="Celda de comprobación 2_Deuda septiembre_marcos" xfId="1106" xr:uid="{7B878741-C5BB-4DA0-AF39-1A92BBC4273C}"/>
    <cellStyle name="Celda de comprobación 3" xfId="3364" xr:uid="{B965FA82-EE01-4995-9F36-036AF24A23CF}"/>
    <cellStyle name="Celda de comprobación 3 2" xfId="4706" xr:uid="{90C9D0CA-F760-4D2C-9BAC-3B86898E1A90}"/>
    <cellStyle name="Celda de comprobación 3 3" xfId="4707" xr:uid="{F0ACBDF4-66B8-4B59-97D6-30735A53E498}"/>
    <cellStyle name="Celda de comprobación 4" xfId="4708" xr:uid="{CFA98959-0149-4AAE-BA95-E1794BD1D04E}"/>
    <cellStyle name="Celda de comprobación 4 2" xfId="4709" xr:uid="{F1F094DF-E61D-4E9C-B16B-EAB55857ED34}"/>
    <cellStyle name="Celda de comprobación 4 3" xfId="4710" xr:uid="{5457C47E-A744-4418-9329-14C969F3738A}"/>
    <cellStyle name="Celda de comprobación 5" xfId="4711" xr:uid="{AC1564FD-31C9-4C53-8DF2-1866FDC10EE0}"/>
    <cellStyle name="Celda de comprobación 6" xfId="4712" xr:uid="{55857543-4F97-45AF-887B-6D12D7124F32}"/>
    <cellStyle name="Celda de comprobación 7" xfId="4713" xr:uid="{E456CC0D-C90D-4BD0-9E69-522AB0285687}"/>
    <cellStyle name="Celda de comprobación 8" xfId="4714" xr:uid="{E59F2FA4-0F52-4834-9EF2-EE42777FD897}"/>
    <cellStyle name="Celda de comprobación 9" xfId="4715" xr:uid="{1863E5C6-AE85-472D-8EE2-3B9BF60DEFB8}"/>
    <cellStyle name="Celda vinculada 10" xfId="4716" xr:uid="{DCE76027-30A5-4D4E-806B-37E488D8E2A6}"/>
    <cellStyle name="Celda vinculada 10 2" xfId="4717" xr:uid="{FFECD3C5-17FD-4DFE-8B88-B5353E9594E1}"/>
    <cellStyle name="Celda vinculada 11" xfId="4718" xr:uid="{C42DCBD2-C49D-4339-84C8-EB4FC26C6F18}"/>
    <cellStyle name="Celda vinculada 11 2" xfId="4719" xr:uid="{000C468F-E4B8-4985-9E79-D5EA0FCD6CDE}"/>
    <cellStyle name="Celda vinculada 12" xfId="4720" xr:uid="{20107366-83F8-4159-9CAE-8FD2102C21DF}"/>
    <cellStyle name="Celda vinculada 12 2" xfId="4721" xr:uid="{D6F21FAF-9875-4958-A5A2-6254E5472527}"/>
    <cellStyle name="Celda vinculada 13" xfId="4722" xr:uid="{EBEF1846-82F3-42D2-8B89-4ED83AF76EEA}"/>
    <cellStyle name="Celda vinculada 13 2" xfId="4723" xr:uid="{FF25E52C-9636-41FF-B2A1-E21779DD3D80}"/>
    <cellStyle name="Celda vinculada 14" xfId="4724" xr:uid="{5E07E6D1-88E5-4416-A4B4-2794692292E0}"/>
    <cellStyle name="Celda vinculada 14 2" xfId="4725" xr:uid="{CE0B77E3-8969-4B2A-ADFC-DED9BB217C02}"/>
    <cellStyle name="Celda vinculada 15" xfId="4726" xr:uid="{503AB007-F13D-47E6-BA8C-C23AD4A9B226}"/>
    <cellStyle name="Celda vinculada 2" xfId="3365" xr:uid="{4848EE1A-669C-46D7-BC3B-89CE0A46BB0F}"/>
    <cellStyle name="Celda vinculada 2 2" xfId="4727" xr:uid="{3A40F52F-31A6-4601-A896-5E9EEA06EE5E}"/>
    <cellStyle name="Celda vinculada 2 3" xfId="4728" xr:uid="{893E26F8-57BE-4DA4-8B62-201CCA3FF722}"/>
    <cellStyle name="Celda vinculada 2 4" xfId="4729" xr:uid="{DCFCE0BF-3C49-475E-A942-6F98C75C742B}"/>
    <cellStyle name="Celda vinculada 3" xfId="3366" xr:uid="{42EB8FE3-F4C5-4776-AE4C-95E7950AD94A}"/>
    <cellStyle name="Celda vinculada 3 2" xfId="4730" xr:uid="{03A0AB98-389D-4316-9A5E-BA5CC1C379CE}"/>
    <cellStyle name="Celda vinculada 3 3" xfId="4731" xr:uid="{735A7CE2-382C-4D0E-B77C-84D51E606312}"/>
    <cellStyle name="Celda vinculada 4" xfId="4732" xr:uid="{CAFA09CF-605E-49B5-ABDE-DCCB97D5A7CC}"/>
    <cellStyle name="Celda vinculada 4 2" xfId="4733" xr:uid="{BC9A79E5-6807-48E8-B69C-E2E412E9F151}"/>
    <cellStyle name="Celda vinculada 4 3" xfId="4734" xr:uid="{16AA4740-BDA2-4152-83A6-0B26D9D9C13A}"/>
    <cellStyle name="Celda vinculada 5" xfId="4735" xr:uid="{70FB27F8-95BC-4F80-A94F-C6069C6335A5}"/>
    <cellStyle name="Celda vinculada 6" xfId="4736" xr:uid="{9D7CCEB4-C31D-484D-8088-FDBF1240DB00}"/>
    <cellStyle name="Celda vinculada 7" xfId="4737" xr:uid="{8A4C5FD9-2DCB-43EB-9922-191D26290E04}"/>
    <cellStyle name="Celda vinculada 8" xfId="4738" xr:uid="{1DC9005C-0358-442C-B61A-BCC902C8C744}"/>
    <cellStyle name="Celda vinculada 9" xfId="4739" xr:uid="{C5ECA81B-1159-4895-8C5B-8162CA29AEC6}"/>
    <cellStyle name="Célula de Verificação" xfId="1107" xr:uid="{99B93A37-0C93-47C9-B11D-77866E9088A5}"/>
    <cellStyle name="Célula Vinculada" xfId="1108" xr:uid="{348F810F-0023-45D3-92B8-62B575D0760D}"/>
    <cellStyle name="Code" xfId="3367" xr:uid="{22BB0584-0BCF-45AF-BC5C-E1E34629A8AD}"/>
    <cellStyle name="Code Section" xfId="3368" xr:uid="{2B7EF6B4-C166-4028-AE14-4119A77CDBFC}"/>
    <cellStyle name="Column Header" xfId="3369" xr:uid="{3D7D13B5-A4B3-4E87-A506-947507AF82BB}"/>
    <cellStyle name="Coma 2" xfId="3729" xr:uid="{54B9F9A7-0F8E-4AB2-8BB3-88D69602B78C}"/>
    <cellStyle name="Coma 2 2" xfId="3819" xr:uid="{43251176-BD6E-4FCF-AE47-6E96781AB744}"/>
    <cellStyle name="Coma 2 2 2" xfId="6812" xr:uid="{87BBDC7D-4AB5-4BC2-9628-DC7965AA5AAC}"/>
    <cellStyle name="Coma 2 2 2 2" xfId="7135" xr:uid="{1A4C13A9-9DC3-41D7-9849-866066EB15D2}"/>
    <cellStyle name="Coma 2 2 2 2 2" xfId="7776" xr:uid="{CDB3F3FD-44DD-46CA-8306-AA2E6B022019}"/>
    <cellStyle name="Coma 2 2 2 3" xfId="7453" xr:uid="{3A399C20-5691-444C-8CD2-FAE3B2124EB6}"/>
    <cellStyle name="Coma 2 2 3" xfId="6971" xr:uid="{7B90C894-C9A8-4AA1-A8EC-86024A681060}"/>
    <cellStyle name="Coma 2 2 3 2" xfId="7612" xr:uid="{AD791754-180C-4BDD-8BBA-7D48651BAE25}"/>
    <cellStyle name="Coma 2 2 4" xfId="7291" xr:uid="{FBAEC7FF-5FFA-4FB5-A592-8CD8F23A81C3}"/>
    <cellStyle name="Coma 2 3" xfId="6781" xr:uid="{45A82533-1D80-464D-B6B8-C58085C4061A}"/>
    <cellStyle name="Coma 2 3 2" xfId="7104" xr:uid="{D7D2C2A1-42AD-4F35-8E2E-CD79697B3706}"/>
    <cellStyle name="Coma 2 3 2 2" xfId="7745" xr:uid="{5FC72F8F-7C19-498F-A4AB-7AF91E7C2F20}"/>
    <cellStyle name="Coma 2 3 3" xfId="7422" xr:uid="{F277EE8D-AEEB-4291-B1CC-2446743454B1}"/>
    <cellStyle name="Coma 2 4" xfId="6940" xr:uid="{1FF63E1C-4E88-4D0C-9A9E-E149DA110592}"/>
    <cellStyle name="Coma 2 4 2" xfId="7581" xr:uid="{7233A9D2-59CD-4B8A-9243-48BB82136FC4}"/>
    <cellStyle name="Coma 2 5" xfId="7260" xr:uid="{723D4B7D-C09E-47B4-951A-48D012A39A06}"/>
    <cellStyle name="Coma0" xfId="1109" xr:uid="{DFD3C04F-C749-4B0F-ADB7-8969D10CF7E1}"/>
    <cellStyle name="Coma0 10" xfId="3370" xr:uid="{1C14FA47-11F5-40AF-A013-4C267D66A8FF}"/>
    <cellStyle name="Coma0 2" xfId="1110" xr:uid="{B8CC2BF1-B324-4E82-9508-1A4EE3D8B1EE}"/>
    <cellStyle name="Coma0 2 2" xfId="1111" xr:uid="{528305B9-2413-463E-8BCE-289447B3CFE5}"/>
    <cellStyle name="Coma0 2 3" xfId="1112" xr:uid="{903BD5B4-5313-4477-A55B-BD4AB6C928A4}"/>
    <cellStyle name="Coma0 2 4" xfId="1113" xr:uid="{A1CD350C-71A5-4A41-B1A9-CFE9AEC7FD2E}"/>
    <cellStyle name="Coma0 2 5" xfId="1114" xr:uid="{87B93597-88E9-41E2-8905-106D3C7EF40C}"/>
    <cellStyle name="Coma0 2 6" xfId="1115" xr:uid="{F3273E45-94F0-4227-9928-56F5209CD224}"/>
    <cellStyle name="Coma0 2 7" xfId="1116" xr:uid="{55FAE66A-F85E-47FA-A04D-EB087258A80E}"/>
    <cellStyle name="Coma0 2 8" xfId="1117" xr:uid="{5C98146E-47BC-408B-B87C-01BCB45C371A}"/>
    <cellStyle name="Coma0 3" xfId="1118" xr:uid="{596FE0B7-EC40-4D22-A29B-D11F83A3D4C1}"/>
    <cellStyle name="Coma0 3 2" xfId="1119" xr:uid="{248579E1-CB98-461B-84BB-F4E25614C05C}"/>
    <cellStyle name="Coma0 3 3" xfId="1120" xr:uid="{B3C72FE1-0944-41D3-B275-0920D7E149BA}"/>
    <cellStyle name="Coma0 3 4" xfId="1121" xr:uid="{0A4A6B3C-55CD-47BC-96C1-EEAB2071B4C6}"/>
    <cellStyle name="Coma0 3 5" xfId="1122" xr:uid="{E12D19F6-1DA3-4E18-B456-456C17A827B1}"/>
    <cellStyle name="Coma0 3 6" xfId="1123" xr:uid="{DD348C19-0518-4937-8442-5B383FF0A5BE}"/>
    <cellStyle name="Coma0 3 7" xfId="1124" xr:uid="{796AF3CB-E9CF-4576-B60D-4F1AE8582273}"/>
    <cellStyle name="Coma0 3 8" xfId="1125" xr:uid="{B3F3094E-A6CE-4B0D-8F20-F7DEBB6C1FAC}"/>
    <cellStyle name="Coma0 4" xfId="1126" xr:uid="{6BAE7550-1892-4A5A-B4B7-DF9F0BACBD13}"/>
    <cellStyle name="Coma0 4 2" xfId="1127" xr:uid="{11736444-DA08-4D05-9A6C-098EA8FB444B}"/>
    <cellStyle name="Coma0 4 3" xfId="1128" xr:uid="{421C60AF-BC9B-42CC-A2B9-E53CAF9BE14F}"/>
    <cellStyle name="Coma0 4 4" xfId="1129" xr:uid="{388E73D8-548F-4AF8-9130-32BFBC7E1B57}"/>
    <cellStyle name="Coma0 4 5" xfId="1130" xr:uid="{7972156C-7BAF-460E-B01C-A085F0284946}"/>
    <cellStyle name="Coma0 4 6" xfId="1131" xr:uid="{A865B95B-5C29-4F82-B1E2-71D1BA1DADD5}"/>
    <cellStyle name="Coma0 4 7" xfId="1132" xr:uid="{E75F8E03-1750-434F-99AB-94779ACAB4F9}"/>
    <cellStyle name="Coma0 4 8" xfId="1133" xr:uid="{FA979BB7-D555-4188-8804-793CBDB61D3C}"/>
    <cellStyle name="Coma0 5" xfId="3371" xr:uid="{CC81ED34-6408-4B1E-8FC8-6B64244B389D}"/>
    <cellStyle name="Coma0 6" xfId="3372" xr:uid="{CCC40403-7B64-45AA-8B68-4A9109785585}"/>
    <cellStyle name="Coma0 7" xfId="3373" xr:uid="{6BB489C0-96C2-476B-87D2-26AB0D1C618C}"/>
    <cellStyle name="Coma0 8" xfId="3374" xr:uid="{779937A9-3A1D-4AA2-A185-192D0F8D967A}"/>
    <cellStyle name="Coma0 9" xfId="3375" xr:uid="{C465B202-0E91-4CEA-B5E0-A0AF87F1C33E}"/>
    <cellStyle name="Coma1" xfId="1134" xr:uid="{DAEE92D2-2BE9-42F6-8B8D-3B0B46CC3701}"/>
    <cellStyle name="Coma1 10" xfId="3376" xr:uid="{F9A80769-8CE1-42EC-B464-6EC8D40F91B8}"/>
    <cellStyle name="Coma1 2" xfId="1135" xr:uid="{C2FED5D8-BC5B-42C7-B871-DB32DCDAA8F3}"/>
    <cellStyle name="Coma1 2 2" xfId="1136" xr:uid="{A7257163-C94A-4ABD-9E85-467CBE99111B}"/>
    <cellStyle name="Coma1 2 3" xfId="1137" xr:uid="{DC6945A9-1231-4E25-B9E2-1D396BA63272}"/>
    <cellStyle name="Coma1 2 4" xfId="1138" xr:uid="{8E553AC8-88AA-40E9-8C88-8F18203CCB01}"/>
    <cellStyle name="Coma1 2 5" xfId="1139" xr:uid="{D86D4AD4-C1BA-4E43-AD69-366621E6E785}"/>
    <cellStyle name="Coma1 2 6" xfId="1140" xr:uid="{97A29447-526E-4A4F-9C9C-996CD7F8CE2B}"/>
    <cellStyle name="Coma1 2 7" xfId="1141" xr:uid="{6129A1A0-4833-4718-9D5A-6DF56D606E8B}"/>
    <cellStyle name="Coma1 2 8" xfId="1142" xr:uid="{D81641DB-4C7E-4B4E-B6A9-5D7ADE4504EB}"/>
    <cellStyle name="Coma1 3" xfId="1143" xr:uid="{2A75C8A8-20F4-4421-BE1B-BA289C451F52}"/>
    <cellStyle name="Coma1 3 2" xfId="1144" xr:uid="{49BD5F0F-B339-4A95-8BF2-CFC12D389F95}"/>
    <cellStyle name="Coma1 3 3" xfId="1145" xr:uid="{9C69C44C-DC72-41FF-A9F5-4BA7CFA061E6}"/>
    <cellStyle name="Coma1 3 4" xfId="1146" xr:uid="{2F39C8ED-4C55-458A-BAE2-E34BF743F39D}"/>
    <cellStyle name="Coma1 3 5" xfId="1147" xr:uid="{4B5859B5-7502-4636-AE8A-1266F142C87E}"/>
    <cellStyle name="Coma1 3 6" xfId="1148" xr:uid="{D0410D1F-D45B-4878-A429-182BC73A3C2A}"/>
    <cellStyle name="Coma1 3 7" xfId="1149" xr:uid="{6D42722A-65E5-45E7-AD11-3936469A4A4C}"/>
    <cellStyle name="Coma1 3 8" xfId="1150" xr:uid="{874964AA-3262-4633-811C-091ADDD646A3}"/>
    <cellStyle name="Coma1 4" xfId="1151" xr:uid="{62EEE841-A5D0-48CA-AB85-61FD1FFD4917}"/>
    <cellStyle name="Coma1 4 2" xfId="1152" xr:uid="{63870BE6-12D3-41D9-B056-79B06C27680B}"/>
    <cellStyle name="Coma1 4 3" xfId="1153" xr:uid="{4CC2E112-1668-40AA-8A1E-6DCAD6260C8A}"/>
    <cellStyle name="Coma1 4 4" xfId="1154" xr:uid="{3C66C133-3E9D-401B-99CA-421B990B51A6}"/>
    <cellStyle name="Coma1 4 5" xfId="1155" xr:uid="{9711A519-CE84-4EC1-973C-FD7936890605}"/>
    <cellStyle name="Coma1 4 6" xfId="1156" xr:uid="{D2FF0B17-ADF6-4CCE-9234-C4C683538887}"/>
    <cellStyle name="Coma1 4 7" xfId="1157" xr:uid="{E176C7C9-B732-4D73-BF15-1D303D82E975}"/>
    <cellStyle name="Coma1 4 8" xfId="1158" xr:uid="{BB197E9C-C718-49C3-B096-BFF99D8DA932}"/>
    <cellStyle name="Coma1 5" xfId="3377" xr:uid="{CD34168D-81B3-4142-A705-92B647299C16}"/>
    <cellStyle name="Coma1 6" xfId="3378" xr:uid="{F6C3F3EA-B890-408C-80D9-86369C1B5CE2}"/>
    <cellStyle name="Coma1 7" xfId="3379" xr:uid="{E23F3ABC-D14E-4CDD-AC67-50C5F6A0E7B8}"/>
    <cellStyle name="Coma1 8" xfId="3380" xr:uid="{EA6215AE-60F9-4DE3-8D05-D5A9C14E3BED}"/>
    <cellStyle name="Coma1 9" xfId="3381" xr:uid="{50A89A2C-FDC7-4C3C-9ED8-4D214F2F38F2}"/>
    <cellStyle name="Comma" xfId="3726" xr:uid="{B224E763-8EFB-4C6F-8DE3-FCFF5FE20E94}"/>
    <cellStyle name="Comma [0]" xfId="6703" xr:uid="{30857A71-9029-4760-AC92-EEF4BC41D1A0}"/>
    <cellStyle name="Comma [0] 2" xfId="26" xr:uid="{608BD76D-8434-497C-B69F-DAA99EE66058}"/>
    <cellStyle name="Comma [0] 2 2" xfId="76" xr:uid="{A4EBFDEE-F84F-421B-A9E5-3C5DE842EC7D}"/>
    <cellStyle name="Comma [0] 2 2 2" xfId="6728" xr:uid="{C0F36E8D-6937-4A1A-8C00-6E4C7FB71FF5}"/>
    <cellStyle name="Comma [0] 2 2 2 2" xfId="6894" xr:uid="{80CB9DB7-7A14-4B0B-B324-1AB6719A9E1C}"/>
    <cellStyle name="Comma [0] 2 2 2 2 2" xfId="7217" xr:uid="{4D84E194-5AE2-4F91-ADBD-8629F6AC7363}"/>
    <cellStyle name="Comma [0] 2 2 2 2 2 2" xfId="7858" xr:uid="{BDAFC7E4-A75C-4EE7-9F30-867C66CEC1D2}"/>
    <cellStyle name="Comma [0] 2 2 2 2 3" xfId="7535" xr:uid="{3949A5B4-D252-40F6-A3FE-0EF777989050}"/>
    <cellStyle name="Comma [0] 2 2 2 3" xfId="7051" xr:uid="{2CCCE42D-9B8D-4324-8040-A53C49BC688C}"/>
    <cellStyle name="Comma [0] 2 2 2 3 2" xfId="7692" xr:uid="{40DF2B76-E8C9-427F-A87E-9E9796B77D5C}"/>
    <cellStyle name="Comma [0] 2 2 2 4" xfId="7369" xr:uid="{59358B04-B39E-45B8-844D-67C4573990F2}"/>
    <cellStyle name="Comma [0] 2 2 3" xfId="6711" xr:uid="{5C7641CD-66A6-48DA-94BD-9B385F262136}"/>
    <cellStyle name="Comma [0] 2 2 3 2" xfId="6878" xr:uid="{D814B48F-A6CD-43F4-9504-398144AF4403}"/>
    <cellStyle name="Comma [0] 2 2 3 2 2" xfId="7201" xr:uid="{9EC5BB9E-2B8E-4E86-B5D5-85C6E712EDFD}"/>
    <cellStyle name="Comma [0] 2 2 3 2 2 2" xfId="7842" xr:uid="{44C3F747-352E-4D0D-B453-D047BF27F5F2}"/>
    <cellStyle name="Comma [0] 2 2 3 2 3" xfId="7519" xr:uid="{1B0E3E87-39AF-4158-A4F4-F9F9CF89018B}"/>
    <cellStyle name="Comma [0] 2 2 3 3" xfId="7035" xr:uid="{25EF9AED-E560-49EF-BDD1-06C200AB4266}"/>
    <cellStyle name="Comma [0] 2 2 3 3 2" xfId="7676" xr:uid="{81D3774E-E370-4079-A847-1CCDE843AC1F}"/>
    <cellStyle name="Comma [0] 2 2 3 4" xfId="7353" xr:uid="{3D78CA1E-AEF6-4E07-95C0-2586FC360F1B}"/>
    <cellStyle name="Comma [0] 2 2 4" xfId="6901" xr:uid="{18F7608B-1901-4202-AF74-614B100E629E}"/>
    <cellStyle name="Comma [0] 2 2 4 2" xfId="7542" xr:uid="{B3C17229-6E5E-41E1-963E-8F00BB70AD7A}"/>
    <cellStyle name="Comma [0] 2 2 5" xfId="7221" xr:uid="{4E6A7D2A-D885-49A1-B81D-B727D56A7399}"/>
    <cellStyle name="Comma [0] 2 3" xfId="6707" xr:uid="{C04A2812-E0D7-417C-B121-86C510B9BF70}"/>
    <cellStyle name="Comma [0] 2 3 2" xfId="6876" xr:uid="{E26D1193-3172-45B9-9C4E-AB432A5841B3}"/>
    <cellStyle name="Comma [0] 2 3 2 2" xfId="7199" xr:uid="{5A3E3854-8118-4793-98B1-E4516D84ABA1}"/>
    <cellStyle name="Comma [0] 2 3 2 2 2" xfId="7840" xr:uid="{AD677891-1FDD-46A1-B7A2-07EFE8EAF1B3}"/>
    <cellStyle name="Comma [0] 2 3 2 3" xfId="7517" xr:uid="{E607D481-8454-4CB8-B52B-FEA1678673A2}"/>
    <cellStyle name="Comma [0] 2 3 3" xfId="7033" xr:uid="{B31B2538-364B-4AEE-9D22-0AE9451751B5}"/>
    <cellStyle name="Comma [0] 2 3 3 2" xfId="7674" xr:uid="{BA1854C0-A28A-4EF2-81F6-48FE2433E215}"/>
    <cellStyle name="Comma [0] 2 3 4" xfId="7351" xr:uid="{82102A9E-0C05-410F-9D4E-288950CF2AE2}"/>
    <cellStyle name="Comma [0] 2 4" xfId="6724" xr:uid="{C0BB2CF8-EA5E-4310-99B5-6CE9AAC8254C}"/>
    <cellStyle name="Comma [0] 2 4 2" xfId="6890" xr:uid="{83EB0753-7F5F-4A83-918A-ABF9BEF19153}"/>
    <cellStyle name="Comma [0] 2 4 2 2" xfId="7213" xr:uid="{2113B294-912A-4AE8-BFA7-F6359791D28F}"/>
    <cellStyle name="Comma [0] 2 4 2 2 2" xfId="7854" xr:uid="{DF468BCC-C05A-494C-B877-3E9298082C51}"/>
    <cellStyle name="Comma [0] 2 4 2 3" xfId="7531" xr:uid="{C0C87FD2-9D4A-421C-9FEE-735806AE7A10}"/>
    <cellStyle name="Comma [0] 2 4 3" xfId="7047" xr:uid="{991A35B8-23BF-4B6D-8278-D22F45F7BCD7}"/>
    <cellStyle name="Comma [0] 2 4 3 2" xfId="7688" xr:uid="{FFBA3A37-DE72-4E93-B11C-FB9E4AA457A8}"/>
    <cellStyle name="Comma [0] 2 4 4" xfId="7365" xr:uid="{3D1A6311-5933-4987-B7CD-001F1E36CC68}"/>
    <cellStyle name="Comma [0] 2 5" xfId="6704" xr:uid="{99668855-8202-406C-9FCC-6E9134473B8B}"/>
    <cellStyle name="Comma [0] 2 5 2" xfId="6873" xr:uid="{8EA52DAC-F3F4-44D7-A283-ABFD60A9A5A4}"/>
    <cellStyle name="Comma [0] 2 5 2 2" xfId="7196" xr:uid="{CCE1E9CD-436D-4172-8242-9CBF2316E8B1}"/>
    <cellStyle name="Comma [0] 2 5 2 2 2" xfId="7837" xr:uid="{0DE9B886-A43A-4E83-9AD5-A6511A6931C1}"/>
    <cellStyle name="Comma [0] 2 5 2 3" xfId="7514" xr:uid="{D887B536-4060-49F9-A89B-DAE204EAC14D}"/>
    <cellStyle name="Comma [0] 2 5 3" xfId="7030" xr:uid="{3A070D54-1AB0-45B8-A9EF-A28A4C71F108}"/>
    <cellStyle name="Comma [0] 2 5 3 2" xfId="7671" xr:uid="{42ABE947-4974-4B07-A7DF-41E1FD55AE57}"/>
    <cellStyle name="Comma [0] 2 5 4" xfId="7348" xr:uid="{AF254BF4-F433-4495-9262-7FCA49B07FD9}"/>
    <cellStyle name="Comma [0] 2 6" xfId="6899" xr:uid="{CCFA1FA0-0FCD-4B1D-9EC5-D73789296F7F}"/>
    <cellStyle name="Comma [0] 2 6 2" xfId="7540" xr:uid="{46B072FF-7726-4FE1-80EB-A9BE39E1B939}"/>
    <cellStyle name="Comma [0] 2 7" xfId="7219" xr:uid="{59A7BC74-0A0B-4A09-B27A-565A3DAE12B0}"/>
    <cellStyle name="Comma [0] 3" xfId="63" xr:uid="{7ACCE800-3D1C-425C-BC97-E591E5F6FA59}"/>
    <cellStyle name="Comma [0] 3 2" xfId="79" xr:uid="{251C7CD5-654C-40AD-9FD9-B8EEFF4C189B}"/>
    <cellStyle name="Comma [0] 3 2 2" xfId="6727" xr:uid="{20E5BCD3-0C91-4666-A8A3-82600B6E1DEA}"/>
    <cellStyle name="Comma [0] 3 2 2 2" xfId="6893" xr:uid="{8FECE22B-6B4D-4B34-B25A-2CBEE8E8DB33}"/>
    <cellStyle name="Comma [0] 3 2 2 2 2" xfId="7216" xr:uid="{5B8E52D4-6DBD-47F0-814E-767284E0A2CE}"/>
    <cellStyle name="Comma [0] 3 2 2 2 2 2" xfId="7857" xr:uid="{13A81285-4B72-4748-9D55-343F5B547927}"/>
    <cellStyle name="Comma [0] 3 2 2 2 3" xfId="7534" xr:uid="{32CC4428-5EE7-478B-87AF-4E283B1DDFDA}"/>
    <cellStyle name="Comma [0] 3 2 2 3" xfId="7050" xr:uid="{5F18C2BD-7148-4A9A-B37B-D8905F79DF70}"/>
    <cellStyle name="Comma [0] 3 2 2 3 2" xfId="7691" xr:uid="{C5AF89A2-24ED-4DCE-BCE9-1620236462F1}"/>
    <cellStyle name="Comma [0] 3 2 2 4" xfId="7368" xr:uid="{FD50B092-2010-40EC-A07C-AFAB068652BC}"/>
    <cellStyle name="Comma [0] 3 2 3" xfId="6713" xr:uid="{14A9DAA0-C8BF-4C7D-A2A0-8231154ABBC1}"/>
    <cellStyle name="Comma [0] 3 2 3 2" xfId="6880" xr:uid="{616E6799-1B74-40C4-8867-95D6F220F9D2}"/>
    <cellStyle name="Comma [0] 3 2 3 2 2" xfId="7203" xr:uid="{82ED95EC-CBD7-4D2F-868C-FB99990B2DFB}"/>
    <cellStyle name="Comma [0] 3 2 3 2 2 2" xfId="7844" xr:uid="{C976EF51-57D6-442F-8642-10E7A1387E5D}"/>
    <cellStyle name="Comma [0] 3 2 3 2 3" xfId="7521" xr:uid="{2529EDED-85D3-45A6-8C2F-2C152A44EED6}"/>
    <cellStyle name="Comma [0] 3 2 3 3" xfId="7037" xr:uid="{D77F9426-D020-41B8-BE6B-E5EB4664171A}"/>
    <cellStyle name="Comma [0] 3 2 3 3 2" xfId="7678" xr:uid="{117A5D5B-E28C-4A71-9227-C62A11EA3727}"/>
    <cellStyle name="Comma [0] 3 2 3 4" xfId="7355" xr:uid="{C23ADFED-70BA-4A4B-B959-C6EFFB882205}"/>
    <cellStyle name="Comma [0] 3 2 4" xfId="6903" xr:uid="{F5C71785-9521-425F-8387-3F41A47926C1}"/>
    <cellStyle name="Comma [0] 3 2 4 2" xfId="7544" xr:uid="{67F1EA56-5BA8-4F67-8CAF-E50A8E744895}"/>
    <cellStyle name="Comma [0] 3 2 5" xfId="7223" xr:uid="{5B520DAC-0EA2-49FB-B899-0247C202BD0C}"/>
    <cellStyle name="Comma [0] 3 3" xfId="6720" xr:uid="{6F5DE061-7A89-435E-96E4-7561B0547C34}"/>
    <cellStyle name="Comma [0] 3 3 2" xfId="6886" xr:uid="{2ECBB347-F2BE-44E5-BA19-8746115D3916}"/>
    <cellStyle name="Comma [0] 3 3 2 2" xfId="7209" xr:uid="{15F2DA47-7EED-451A-AC0F-54E885279F97}"/>
    <cellStyle name="Comma [0] 3 3 2 2 2" xfId="7850" xr:uid="{7B24BEB2-0E12-4333-AAF7-422348FB4FB8}"/>
    <cellStyle name="Comma [0] 3 3 2 3" xfId="7527" xr:uid="{B77C5CC7-C030-4BE7-B99D-0A69901720A8}"/>
    <cellStyle name="Comma [0] 3 3 3" xfId="7043" xr:uid="{707DC2A0-357F-42CD-9285-CB136270FC95}"/>
    <cellStyle name="Comma [0] 3 3 3 2" xfId="7684" xr:uid="{7AD498EE-57CA-4B2B-A2DE-E27E383E4E02}"/>
    <cellStyle name="Comma [0] 3 3 4" xfId="7361" xr:uid="{2251CF2E-A1E5-4B2F-9110-DE48538BFC3B}"/>
    <cellStyle name="Comma [0] 3 4" xfId="6708" xr:uid="{4D691063-9486-4CA6-B10A-39899CEB9209}"/>
    <cellStyle name="Comma [0] 3 4 2" xfId="6877" xr:uid="{A7DA737A-9B06-4FEB-B9A3-259E168BEB3C}"/>
    <cellStyle name="Comma [0] 3 4 2 2" xfId="7200" xr:uid="{91E20E2B-6860-4322-83AF-474F4A18FDF9}"/>
    <cellStyle name="Comma [0] 3 4 2 2 2" xfId="7841" xr:uid="{6DC11EBD-D19D-4CCA-ADEE-9ABBF1B62D13}"/>
    <cellStyle name="Comma [0] 3 4 2 3" xfId="7518" xr:uid="{EA693523-9270-47EF-A6CB-7B89DA24E245}"/>
    <cellStyle name="Comma [0] 3 4 3" xfId="7034" xr:uid="{9DACF373-42FE-4E3B-BA09-6B26DD69BA19}"/>
    <cellStyle name="Comma [0] 3 4 3 2" xfId="7675" xr:uid="{5F6791F9-DF5A-4073-8005-54CA8BCF0E7D}"/>
    <cellStyle name="Comma [0] 3 4 4" xfId="7352" xr:uid="{5B5DF5E9-3EBE-48FC-A543-ACA5C1A8E432}"/>
    <cellStyle name="Comma [0] 3 5" xfId="6900" xr:uid="{E849DE82-2FC1-43CB-B3DB-71BADC4B7A54}"/>
    <cellStyle name="Comma [0] 3 5 2" xfId="7541" xr:uid="{107E6C3C-A691-4999-9D55-18C156D1814F}"/>
    <cellStyle name="Comma [0] 3 6" xfId="7220" xr:uid="{E3955160-AB7D-4EE3-A533-A1C5CA4BDE7D}"/>
    <cellStyle name="Comma [0] 4" xfId="77" xr:uid="{D9E7D9EC-D76B-42A2-BAE8-4F9B4FFC7D2D}"/>
    <cellStyle name="Comma [0] 4 2" xfId="6729" xr:uid="{D43F3BB6-170E-4995-821E-546ADC500CC4}"/>
    <cellStyle name="Comma [0] 4 2 2" xfId="6895" xr:uid="{C0EB83FF-B6FD-4C53-B199-2A2855E355A9}"/>
    <cellStyle name="Comma [0] 4 2 2 2" xfId="7218" xr:uid="{77B6FC7E-81EC-4A36-A94C-2D3768EAB038}"/>
    <cellStyle name="Comma [0] 4 2 2 2 2" xfId="7859" xr:uid="{91D188DD-AABA-42EC-8EF2-52F80053D109}"/>
    <cellStyle name="Comma [0] 4 2 2 3" xfId="7536" xr:uid="{3909E20D-A9BC-4912-9116-066917114A89}"/>
    <cellStyle name="Comma [0] 4 2 3" xfId="7052" xr:uid="{E00C9507-B348-425A-BD6D-C61DFC4C3BAE}"/>
    <cellStyle name="Comma [0] 4 2 3 2" xfId="7693" xr:uid="{01F5BC36-7DAE-4CDD-B08A-8B809E911508}"/>
    <cellStyle name="Comma [0] 4 2 4" xfId="7370" xr:uid="{F42D7ACB-DFB8-4AB2-8C9A-6C8E059B45DA}"/>
    <cellStyle name="Comma [0] 4 3" xfId="6712" xr:uid="{0D821CCC-AF3A-44F1-ABFC-40DF2DA39E2A}"/>
    <cellStyle name="Comma [0] 4 3 2" xfId="6879" xr:uid="{E6FCF417-8C5C-45EA-BBE8-85700CD32885}"/>
    <cellStyle name="Comma [0] 4 3 2 2" xfId="7202" xr:uid="{397E99B9-CE56-4496-A06E-84329F705562}"/>
    <cellStyle name="Comma [0] 4 3 2 2 2" xfId="7843" xr:uid="{34EFF763-9AAF-4AF9-A025-551F3F6E3821}"/>
    <cellStyle name="Comma [0] 4 3 2 3" xfId="7520" xr:uid="{BD0C1BE7-1727-4676-A698-F659E5C24EE3}"/>
    <cellStyle name="Comma [0] 4 3 3" xfId="7036" xr:uid="{4F6AE4C8-7A23-4BDA-8974-8441094557FC}"/>
    <cellStyle name="Comma [0] 4 3 3 2" xfId="7677" xr:uid="{0B5CEFF5-5F80-4E04-9231-F0365528BD50}"/>
    <cellStyle name="Comma [0] 4 3 4" xfId="7354" xr:uid="{6D08900B-DF60-45EA-BD7D-C79A32B1D244}"/>
    <cellStyle name="Comma [0] 4 4" xfId="6902" xr:uid="{8C22E341-6697-462A-82DB-B53D696AFF9B}"/>
    <cellStyle name="Comma [0] 4 4 2" xfId="7543" xr:uid="{F4733D3D-F60F-4779-9156-6D788C936BD1}"/>
    <cellStyle name="Comma [0] 4 5" xfId="7222" xr:uid="{51525DFC-D9EE-4889-B14F-88F25A18A672}"/>
    <cellStyle name="Comma [0] 5" xfId="6872" xr:uid="{10C7DCA5-04F7-44BE-B024-F8B8D96BD5FB}"/>
    <cellStyle name="Comma [0] 5 2" xfId="7195" xr:uid="{81FC6CD7-86F6-4A9A-B477-0AA7A4E8C78F}"/>
    <cellStyle name="Comma [0] 5 2 2" xfId="7836" xr:uid="{CA3B8A9F-38C3-4FB3-9CCD-FD5463E53E07}"/>
    <cellStyle name="Comma [0] 5 3" xfId="7513" xr:uid="{C9348A2A-A1D5-4CFC-8E38-29214D75DBB1}"/>
    <cellStyle name="Comma [0] 6" xfId="7029" xr:uid="{EB76950F-5D04-45C4-88B9-73CA83C78251}"/>
    <cellStyle name="Comma [0] 6 2" xfId="7670" xr:uid="{5B88C82D-B411-4780-9758-499AF2ACB0FC}"/>
    <cellStyle name="Comma [0] 7" xfId="7347" xr:uid="{F7F1411F-27EF-4338-852C-445C13E260E0}"/>
    <cellStyle name="Comma [1]" xfId="1159" xr:uid="{2B9E006F-48C0-4EA7-8F83-B65E8340264A}"/>
    <cellStyle name="Comma [1] 2" xfId="1160" xr:uid="{3CE8FF4B-73C3-4D01-94B4-B39DCF9389F9}"/>
    <cellStyle name="Comma [1] 2 2" xfId="1161" xr:uid="{A977B670-64BC-4C7D-A2F6-33A5D47F70CD}"/>
    <cellStyle name="Comma [1] 2 2 2" xfId="4740" xr:uid="{A80FFBD8-94B0-4FD3-9EA4-21C4CD5D2749}"/>
    <cellStyle name="Comma [1] 2 3" xfId="1162" xr:uid="{49548DC2-EFAD-4841-B4E6-3C5508D506F2}"/>
    <cellStyle name="Comma [1] 2 3 2" xfId="4741" xr:uid="{21EAE6BA-4AEE-4A20-A151-DE718CAD77E0}"/>
    <cellStyle name="Comma [1] 2 4" xfId="1163" xr:uid="{9D176FD1-AC71-4470-A8D9-47093A238267}"/>
    <cellStyle name="Comma [1] 2 4 2" xfId="4742" xr:uid="{4929FF08-F03F-4D5A-BBCC-648D0D168969}"/>
    <cellStyle name="Comma [1] 2 5" xfId="1164" xr:uid="{CA15A6A2-2B1D-47C0-B0D8-36917DA2F4BD}"/>
    <cellStyle name="Comma [1] 2 5 2" xfId="4743" xr:uid="{3AE16F41-F89A-4DF6-9472-0C16AED8ECC1}"/>
    <cellStyle name="Comma [1] 2 6" xfId="1165" xr:uid="{F17C6978-4E99-4B9E-8C6A-4BF4145671DE}"/>
    <cellStyle name="Comma [1] 2 6 2" xfId="4744" xr:uid="{1E303D63-0CBC-40FC-B965-59AE6CFF877F}"/>
    <cellStyle name="Comma [1] 2 7" xfId="1166" xr:uid="{A48F403C-337E-4CEC-B47D-5D8E8659FB0B}"/>
    <cellStyle name="Comma [1] 2 8" xfId="1167" xr:uid="{3A1A8548-514E-4B39-AF14-7588AC149EC4}"/>
    <cellStyle name="Comma [1] 3" xfId="1168" xr:uid="{92428C44-FC4E-41A9-B728-00878319324D}"/>
    <cellStyle name="Comma [1] 3 2" xfId="1169" xr:uid="{E75675E9-DC15-481B-8E13-6DD5C923AEEE}"/>
    <cellStyle name="Comma [1] 3 2 2" xfId="4745" xr:uid="{704E30EF-626A-4D7C-9792-B278414F21B7}"/>
    <cellStyle name="Comma [1] 3 3" xfId="1170" xr:uid="{CC18FD44-B411-4062-96DA-945485D6049B}"/>
    <cellStyle name="Comma [1] 3 3 2" xfId="4746" xr:uid="{EAF80B8C-70F1-468F-8765-B51C3A9589DF}"/>
    <cellStyle name="Comma [1] 3 4" xfId="1171" xr:uid="{BDB5332E-677E-4F37-87DB-8C6365B25CA8}"/>
    <cellStyle name="Comma [1] 3 4 2" xfId="4747" xr:uid="{57B28D88-5939-4794-A5D8-4EC39A5B7176}"/>
    <cellStyle name="Comma [1] 3 5" xfId="1172" xr:uid="{8ECFCA8B-036F-4C99-9D7F-CBEB9656A72F}"/>
    <cellStyle name="Comma [1] 3 5 2" xfId="4748" xr:uid="{788B38FB-4200-4757-9B2F-724C7FECDB05}"/>
    <cellStyle name="Comma [1] 3 6" xfId="1173" xr:uid="{7DFB148A-0A7F-4C2C-8AFA-B7ADA8479842}"/>
    <cellStyle name="Comma [1] 3 6 2" xfId="4749" xr:uid="{AEFEC083-367F-4B17-80DF-9E81FF326B5C}"/>
    <cellStyle name="Comma [1] 3 7" xfId="1174" xr:uid="{CB93793C-63C0-4B8C-91AE-1B7BCFE8DF47}"/>
    <cellStyle name="Comma [1] 3 8" xfId="1175" xr:uid="{47E9E834-B1DD-410A-A5DF-A5339E25E269}"/>
    <cellStyle name="Comma [1] 4" xfId="1176" xr:uid="{4A976533-7162-4738-841E-748ADA35D201}"/>
    <cellStyle name="Comma [1] 4 2" xfId="1177" xr:uid="{ED6333E3-EEA8-4E26-A79D-E40C356ADDBA}"/>
    <cellStyle name="Comma [1] 4 2 2" xfId="4750" xr:uid="{073BAF38-3F67-4263-AF44-5781E83C6425}"/>
    <cellStyle name="Comma [1] 4 3" xfId="1178" xr:uid="{5C988A2C-4C5E-487E-8F7D-0B8ED2995A1F}"/>
    <cellStyle name="Comma [1] 4 3 2" xfId="4751" xr:uid="{D1AFF6BF-0577-471E-9964-EB56BCDA481B}"/>
    <cellStyle name="Comma [1] 4 4" xfId="1179" xr:uid="{BDCACB18-FA9A-4F93-A594-09C5FB75C88F}"/>
    <cellStyle name="Comma [1] 4 4 2" xfId="4752" xr:uid="{0A6DA0C6-6F5B-48F1-9E4B-F43CAA23908B}"/>
    <cellStyle name="Comma [1] 4 5" xfId="1180" xr:uid="{1C06B089-8EE3-4BF5-B2E1-6C8F5C0BF5BE}"/>
    <cellStyle name="Comma [1] 4 5 2" xfId="4753" xr:uid="{42B8FB36-F312-4C3E-A170-7C5CC9B928B7}"/>
    <cellStyle name="Comma [1] 4 6" xfId="1181" xr:uid="{5B61AA37-9409-4DF1-9C87-7AE6773087EC}"/>
    <cellStyle name="Comma [1] 4 6 2" xfId="4754" xr:uid="{22276B75-3C77-4E64-BADA-3E432A545DB8}"/>
    <cellStyle name="Comma [1] 4 7" xfId="1182" xr:uid="{2DEED034-DD72-4A96-B198-C94BAAB3B5B4}"/>
    <cellStyle name="Comma [1] 4 8" xfId="1183" xr:uid="{DC83FC45-B642-45D9-B92D-7BDF07FC0463}"/>
    <cellStyle name="Comma [1] 5" xfId="4755" xr:uid="{F5F1A9FE-D256-4F37-AC4F-5F8320193B47}"/>
    <cellStyle name="Comma 10" xfId="6779" xr:uid="{9BA55F9E-1E84-43C4-93FD-D0143F02A101}"/>
    <cellStyle name="Comma 10 2" xfId="7102" xr:uid="{309C38C4-6C01-4243-BC81-4B23B8526520}"/>
    <cellStyle name="Comma 10 2 2" xfId="7743" xr:uid="{01F511D1-3B86-46BD-ADC6-9DBB8BB62CF5}"/>
    <cellStyle name="Comma 10 3" xfId="7420" xr:uid="{12A09A84-2E08-4F95-B887-E690580C05C1}"/>
    <cellStyle name="Comma 11" xfId="6778" xr:uid="{BC28F111-4A45-4110-A369-214974E65EF0}"/>
    <cellStyle name="Comma 11 2" xfId="7101" xr:uid="{F2974028-D958-4F66-B1E3-9470D6E929BF}"/>
    <cellStyle name="Comma 11 2 2" xfId="7742" xr:uid="{AA774767-9385-4017-AE99-4D4DA095A49C}"/>
    <cellStyle name="Comma 11 3" xfId="7419" xr:uid="{49A57CAC-D0B6-499F-AB3A-D02F6D610B1F}"/>
    <cellStyle name="Comma 12" xfId="6867" xr:uid="{CFB10501-62A7-4389-A1BA-5E0E1363BE57}"/>
    <cellStyle name="Comma 12 2" xfId="7190" xr:uid="{28385F24-9A4D-4DA3-933C-0A1D3E699979}"/>
    <cellStyle name="Comma 12 2 2" xfId="7831" xr:uid="{CC4F2408-573F-40D7-A5A0-AB2F2473BC6F}"/>
    <cellStyle name="Comma 12 3" xfId="7508" xr:uid="{BCFF839F-C5C0-475D-A831-4B0EC75F4388}"/>
    <cellStyle name="Comma 13" xfId="6737" xr:uid="{F7D3CFED-1B6A-4D12-AF16-9A4DB32C11FB}"/>
    <cellStyle name="Comma 13 2" xfId="7060" xr:uid="{581FE0DA-27DF-4B25-8DEA-C2F931096976}"/>
    <cellStyle name="Comma 13 2 2" xfId="7701" xr:uid="{86AABEE4-B062-4EBF-90B3-E1A81B993742}"/>
    <cellStyle name="Comma 13 3" xfId="7378" xr:uid="{761226E3-F09E-48E1-BE3F-2EB20652DE15}"/>
    <cellStyle name="Comma 14" xfId="6814" xr:uid="{3DA9BD2B-1275-45C0-8886-21A2E5F390D6}"/>
    <cellStyle name="Comma 14 2" xfId="7137" xr:uid="{2ED55103-0905-4F48-82A7-C511E56553BA}"/>
    <cellStyle name="Comma 14 2 2" xfId="7778" xr:uid="{B3D9E99B-318B-4FBF-B935-EA0B1FCF70D2}"/>
    <cellStyle name="Comma 14 3" xfId="7455" xr:uid="{BF861DCA-F9A2-41DA-A8EF-AF6F3BE5FBE8}"/>
    <cellStyle name="Comma 15" xfId="6868" xr:uid="{6ECC4D67-4FCD-4DB1-890C-CC34839853C6}"/>
    <cellStyle name="Comma 15 2" xfId="7191" xr:uid="{063CEF00-B345-44E0-A486-8272FD7B2509}"/>
    <cellStyle name="Comma 15 2 2" xfId="7832" xr:uid="{0F9A32B4-1CBA-4D59-8D87-8B6AB567FD7F}"/>
    <cellStyle name="Comma 15 3" xfId="7509" xr:uid="{17AFAC29-A997-494F-8EB0-53ABB43E321C}"/>
    <cellStyle name="Comma 16" xfId="6736" xr:uid="{8CF00DA2-3636-45BF-BF5B-440279468DED}"/>
    <cellStyle name="Comma 16 2" xfId="7059" xr:uid="{38D13360-25A2-4EE2-9A81-377D86EC808D}"/>
    <cellStyle name="Comma 16 2 2" xfId="7700" xr:uid="{C8DFA5A5-5B72-4DA1-B4F1-2CF2F7174FFE}"/>
    <cellStyle name="Comma 16 3" xfId="7377" xr:uid="{1787B56B-7638-4298-A854-2C071329A8F7}"/>
    <cellStyle name="Comma 17" xfId="6777" xr:uid="{A71E1AD2-BED3-4B9E-819A-8E11771FD76E}"/>
    <cellStyle name="Comma 17 2" xfId="7100" xr:uid="{D29A5DC0-DC86-4A43-A286-E1F00D453966}"/>
    <cellStyle name="Comma 17 2 2" xfId="7741" xr:uid="{CAC62125-D111-4F0D-891B-FFC42F0C86C9}"/>
    <cellStyle name="Comma 17 3" xfId="7418" xr:uid="{FB4B20BA-1FC8-4F7A-B431-F035FE5301C2}"/>
    <cellStyle name="Comma 18" xfId="6770" xr:uid="{DEC98FED-8938-48BD-A505-94A35F86993E}"/>
    <cellStyle name="Comma 18 2" xfId="7093" xr:uid="{BE416E58-B0C8-4A69-BF86-0716AD7867AF}"/>
    <cellStyle name="Comma 18 2 2" xfId="7734" xr:uid="{F781839B-FD78-459C-9563-47301D4E098D}"/>
    <cellStyle name="Comma 18 3" xfId="7411" xr:uid="{6644420E-A796-4EF9-8693-E996CAF086A6}"/>
    <cellStyle name="Comma 19" xfId="6775" xr:uid="{D2B29578-8204-42C3-ABEC-561787F7EF7D}"/>
    <cellStyle name="Comma 19 2" xfId="7098" xr:uid="{49E717DF-9245-4CD0-A5AE-9ACB16B786FF}"/>
    <cellStyle name="Comma 19 2 2" xfId="7739" xr:uid="{CF50507C-44C4-417C-A550-7490EFD38207}"/>
    <cellStyle name="Comma 19 3" xfId="7416" xr:uid="{903CC2B3-79D9-4744-BA8E-63F3E5FC8800}"/>
    <cellStyle name="Comma 2" xfId="64" xr:uid="{29076E3B-7B70-40C2-8733-F30C2F58FE6A}"/>
    <cellStyle name="Comma 2 10" xfId="1184" xr:uid="{1006E804-7547-4105-89FF-24E05B0DEEB7}"/>
    <cellStyle name="Comma 2 2" xfId="1185" xr:uid="{EADE5FB9-B708-44A1-B30A-6208F7B7ABBA}"/>
    <cellStyle name="Comma 2 3" xfId="1186" xr:uid="{FE9080CA-B525-4AAA-AB12-7E6DAD8B5B51}"/>
    <cellStyle name="Comma 2 4" xfId="1187" xr:uid="{8DABB267-2A55-46FB-AE83-25842E9C299B}"/>
    <cellStyle name="Comma 2 5" xfId="1188" xr:uid="{621DB83F-637D-4383-B6A5-C256E2D94FD1}"/>
    <cellStyle name="Comma 2 6" xfId="1189" xr:uid="{37B43A24-073C-4077-B1AF-ED2CE564471C}"/>
    <cellStyle name="Comma 2 7" xfId="1190" xr:uid="{BD2B4BFF-8FD4-40EF-B0BD-3EC302D3B6FB}"/>
    <cellStyle name="Comma 2 8" xfId="1191" xr:uid="{E0046813-C775-4732-A2DC-FBAFC566AA8F}"/>
    <cellStyle name="Comma 2 9" xfId="6709" xr:uid="{01BD2913-A4AC-4543-8CD4-6E07C2E740C8}"/>
    <cellStyle name="Comma 2_ActiFijos" xfId="1192" xr:uid="{A3C241FA-8D9F-42BE-A03E-A7C98044F33F}"/>
    <cellStyle name="Comma 20" xfId="6771" xr:uid="{9950F353-7022-494A-8212-96B054E9FEEF}"/>
    <cellStyle name="Comma 20 2" xfId="7094" xr:uid="{BD4A96BC-F764-45A7-A0CA-5E70C033C023}"/>
    <cellStyle name="Comma 20 2 2" xfId="7735" xr:uid="{6CB24A66-9A78-4441-A7A8-2B210FFE45CB}"/>
    <cellStyle name="Comma 20 3" xfId="7412" xr:uid="{83939966-2D23-4A6E-806F-9834B8C0247F}"/>
    <cellStyle name="Comma 21" xfId="6774" xr:uid="{9B90FE85-3AF8-4DCD-8B5A-FBADBBEC9804}"/>
    <cellStyle name="Comma 21 2" xfId="7097" xr:uid="{6623BB09-6AF4-46FD-9D24-4F5774045B06}"/>
    <cellStyle name="Comma 21 2 2" xfId="7738" xr:uid="{C9C9026E-E28D-4080-A989-69030C5439CA}"/>
    <cellStyle name="Comma 21 3" xfId="7415" xr:uid="{5328A411-973F-4EC0-B958-AFAECB08BDBB}"/>
    <cellStyle name="Comma 22" xfId="6772" xr:uid="{EEAC8E59-F897-4CA7-9FC0-5D330F146FFD}"/>
    <cellStyle name="Comma 22 2" xfId="7095" xr:uid="{B273C661-0EB5-46D2-B649-DCED6BC25279}"/>
    <cellStyle name="Comma 22 2 2" xfId="7736" xr:uid="{3231E4EA-B9E7-4145-A405-AEB9CB733E6A}"/>
    <cellStyle name="Comma 22 3" xfId="7413" xr:uid="{711C2F74-B27C-4D93-AFD9-19EA04DF9445}"/>
    <cellStyle name="Comma 23" xfId="6773" xr:uid="{406F4B9C-C78E-4FB1-AF5D-E02DD48B690B}"/>
    <cellStyle name="Comma 23 2" xfId="7096" xr:uid="{A6D93BC8-DB75-4A35-902A-E6250ADD3608}"/>
    <cellStyle name="Comma 23 2 2" xfId="7737" xr:uid="{6C46FEF1-0DD3-4574-B7C2-6173F6DF13BD}"/>
    <cellStyle name="Comma 23 3" xfId="7414" xr:uid="{1C5CB1F5-9EAC-40BA-9AD1-2025ACB8EF17}"/>
    <cellStyle name="Comma 24" xfId="6866" xr:uid="{57FA73B7-74A5-4425-BE32-F5CF8E34C0AA}"/>
    <cellStyle name="Comma 24 2" xfId="7189" xr:uid="{9855064F-D2CE-4A96-BA54-088BF23C6BDD}"/>
    <cellStyle name="Comma 24 2 2" xfId="7830" xr:uid="{6049794D-ACAC-4559-92A8-5E3BAC3D6F5A}"/>
    <cellStyle name="Comma 24 3" xfId="7507" xr:uid="{FF679B9D-0E9C-435E-ABA9-3E34B8662765}"/>
    <cellStyle name="Comma 25" xfId="6738" xr:uid="{CC1D2B65-78C4-4A4C-8210-142EE5E6F4C8}"/>
    <cellStyle name="Comma 25 2" xfId="7061" xr:uid="{0AD6174A-0CCE-4BBF-9245-F2A960BE4C25}"/>
    <cellStyle name="Comma 25 2 2" xfId="7702" xr:uid="{39A767B0-09C0-485B-B45F-09C73B48E95C}"/>
    <cellStyle name="Comma 25 3" xfId="7379" xr:uid="{349CD3E7-86B3-424F-91C8-C6F14D9A7F49}"/>
    <cellStyle name="Comma 26" xfId="6869" xr:uid="{EEEDCF0C-0D01-4E11-B173-1A8ACBDE2545}"/>
    <cellStyle name="Comma 26 2" xfId="7192" xr:uid="{8122FDE8-7BFC-49F5-89CD-46C45080AA34}"/>
    <cellStyle name="Comma 26 2 2" xfId="7833" xr:uid="{05642BC6-14ED-470E-AD8E-63D4F2103478}"/>
    <cellStyle name="Comma 26 3" xfId="7510" xr:uid="{6880C356-1A8E-4D26-95FD-C3CC6EE0821B}"/>
    <cellStyle name="Comma 27" xfId="6735" xr:uid="{2466416D-A128-4845-886C-48675611C784}"/>
    <cellStyle name="Comma 27 2" xfId="7058" xr:uid="{25B5C55C-ED7C-41C7-915C-41B183594C2C}"/>
    <cellStyle name="Comma 27 2 2" xfId="7699" xr:uid="{E8468B84-9BA9-425D-8D00-0A368C9CC5BA}"/>
    <cellStyle name="Comma 27 3" xfId="7376" xr:uid="{CD31764F-1442-464E-B5B2-A408945B47A3}"/>
    <cellStyle name="Comma 28" xfId="6815" xr:uid="{30F1230F-A9D8-478B-8C67-716AA3B457C3}"/>
    <cellStyle name="Comma 28 2" xfId="7138" xr:uid="{1ACBEE4A-FD2E-4BE8-A685-AC5C463FF88F}"/>
    <cellStyle name="Comma 28 2 2" xfId="7779" xr:uid="{5903817A-B473-492F-96DB-A27D9CC6D381}"/>
    <cellStyle name="Comma 28 3" xfId="7456" xr:uid="{B28D0111-405E-4B93-B36F-0BF19E5BB7C2}"/>
    <cellStyle name="Comma 29" xfId="6776" xr:uid="{79D817EB-EEF2-4861-AC47-04AF0FFC279D}"/>
    <cellStyle name="Comma 29 2" xfId="7099" xr:uid="{C8DD54C9-E5F4-4DF1-995F-1E2E5F8F3310}"/>
    <cellStyle name="Comma 29 2 2" xfId="7740" xr:uid="{4229E5A2-CFC3-46F9-A3D3-E1D63197EE15}"/>
    <cellStyle name="Comma 29 3" xfId="7417" xr:uid="{45AF7F7A-9703-4A74-BA88-0593047E9E78}"/>
    <cellStyle name="Comma 3" xfId="1193" xr:uid="{E639C953-620C-4C34-803A-5F83939503AA}"/>
    <cellStyle name="Comma 3 2" xfId="1194" xr:uid="{741FA459-C5DB-4EE4-BDE8-9DC5A226EB34}"/>
    <cellStyle name="Comma 3 3" xfId="1195" xr:uid="{E508C432-8B32-4320-8582-C8A82EBEB60C}"/>
    <cellStyle name="Comma 3 4" xfId="1196" xr:uid="{FC14AC33-24AA-4E97-ADD2-C0466204ECC4}"/>
    <cellStyle name="Comma 3 5" xfId="1197" xr:uid="{FC70E5C0-7558-4CCB-923E-EBC6CFB6D344}"/>
    <cellStyle name="Comma 3 6" xfId="1198" xr:uid="{C29BC032-C4EF-4DAE-895D-61F435DEFB1E}"/>
    <cellStyle name="Comma 3 7" xfId="1199" xr:uid="{DC1B71B9-DD08-476F-B333-96090EB77305}"/>
    <cellStyle name="Comma 3 8" xfId="1200" xr:uid="{A99D7157-E6FA-4425-80E8-BA946F062FD4}"/>
    <cellStyle name="Comma 3_ActiFijos" xfId="1201" xr:uid="{EFA180E6-ED34-424F-B7A0-BB0B0691ECE0}"/>
    <cellStyle name="Comma 30" xfId="6939" xr:uid="{144DFB3C-DCED-4DC3-B312-B606772D910B}"/>
    <cellStyle name="Comma 30 2" xfId="7580" xr:uid="{2716A05B-E7F2-42BD-AB71-29C20E96BE2B}"/>
    <cellStyle name="Comma 31" xfId="6909" xr:uid="{CB4598A9-D87E-403A-8728-0A632B69A1F7}"/>
    <cellStyle name="Comma 31 2" xfId="7550" xr:uid="{42AC0623-7EEF-403E-B645-DE9588F3E066}"/>
    <cellStyle name="Comma 32" xfId="7026" xr:uid="{464F66F6-61D8-4D46-AC84-D1905E2BF6BC}"/>
    <cellStyle name="Comma 32 2" xfId="7667" xr:uid="{002C16CF-6690-42D1-8582-D99054F1E62E}"/>
    <cellStyle name="Comma 33" xfId="7025" xr:uid="{22709CD6-C5AC-4A2A-BEDF-67BA103D4FE3}"/>
    <cellStyle name="Comma 33 2" xfId="7666" xr:uid="{DA946DC8-BD15-4DA2-BF23-E7FBEA027667}"/>
    <cellStyle name="Comma 34" xfId="6973" xr:uid="{50BB5C53-30DA-446A-AFFA-1D879A1B5096}"/>
    <cellStyle name="Comma 34 2" xfId="7614" xr:uid="{277B90E8-A827-41E1-BA8E-79CCC65973C5}"/>
    <cellStyle name="Comma 35" xfId="6974" xr:uid="{1F8C87DD-FAB6-4167-941E-CA74CED462F4}"/>
    <cellStyle name="Comma 35 2" xfId="7615" xr:uid="{BA3593F7-F100-4FB4-AE08-84605F1FCF3F}"/>
    <cellStyle name="Comma 36" xfId="6910" xr:uid="{B0A2EE6F-D933-4BB3-89AB-64F3ADF7F679}"/>
    <cellStyle name="Comma 36 2" xfId="7551" xr:uid="{F6931F6B-9A78-41A0-A704-E25D2CD21142}"/>
    <cellStyle name="Comma 37" xfId="7259" xr:uid="{57C5F3C4-C969-4945-BD0A-4A71A1F7F71D}"/>
    <cellStyle name="Comma 38" xfId="7230" xr:uid="{DE673417-8654-444F-A062-2D1DC34D328F}"/>
    <cellStyle name="Comma 4" xfId="1202" xr:uid="{F29EE3E7-08DA-4F35-97D0-4F4588D00782}"/>
    <cellStyle name="Comma 4 2" xfId="1203" xr:uid="{C88E4B1C-466D-490C-ABE9-0E2429A04021}"/>
    <cellStyle name="Comma 4 3" xfId="1204" xr:uid="{4F5CE627-FE2E-455D-AB71-17AF3632E48E}"/>
    <cellStyle name="Comma 4 4" xfId="1205" xr:uid="{FFE74395-243E-4CFD-937E-6E43C32A74E3}"/>
    <cellStyle name="Comma 4 5" xfId="1206" xr:uid="{BC2F1D2A-2DB1-447D-ABEA-45C4191240DD}"/>
    <cellStyle name="Comma 4 6" xfId="1207" xr:uid="{DD8846A4-8AEC-4E21-83FE-16C37AF0A2B7}"/>
    <cellStyle name="Comma 4 7" xfId="1208" xr:uid="{82D48F38-D455-42BC-A21C-663DA55D8253}"/>
    <cellStyle name="Comma 4 8" xfId="1209" xr:uid="{D4532570-B7F1-44CD-BE97-23361E5D7769}"/>
    <cellStyle name="Comma 4_ActiFijos" xfId="1210" xr:uid="{70F539D3-D635-4F18-A211-A90BB197075C}"/>
    <cellStyle name="Comma 5" xfId="6702" xr:uid="{5F854947-56C4-4C15-AF70-D72CB5BCA5A9}"/>
    <cellStyle name="Comma 5 2" xfId="6871" xr:uid="{B47CBE03-DA2D-464B-BBF6-DC3A31FA9B19}"/>
    <cellStyle name="Comma 5 2 2" xfId="7194" xr:uid="{D5AB3E1F-695B-4F1F-899C-8115289173E0}"/>
    <cellStyle name="Comma 5 2 2 2" xfId="7835" xr:uid="{E0DC6CA1-6459-41EE-AA8E-AB445CFB12AF}"/>
    <cellStyle name="Comma 5 2 3" xfId="7512" xr:uid="{4368A03C-41BF-48E0-AED2-D3B20FF88D9C}"/>
    <cellStyle name="Comma 5 3" xfId="7028" xr:uid="{A4528981-17AA-47E7-9930-E63FAC332920}"/>
    <cellStyle name="Comma 5 3 2" xfId="7669" xr:uid="{739D4CB1-FC23-4FBC-9CFC-9355150F8C4A}"/>
    <cellStyle name="Comma 5 4" xfId="7346" xr:uid="{C4CA3BA7-21AA-483E-AC8E-CDD5E82010C6}"/>
    <cellStyle name="Comma 6" xfId="6780" xr:uid="{CB5E5C4D-166E-4E34-8BBF-B71FB38E1866}"/>
    <cellStyle name="Comma 6 2" xfId="7103" xr:uid="{E54ED4F9-0291-4363-BF81-EA0EC1C3B77B}"/>
    <cellStyle name="Comma 6 2 2" xfId="7744" xr:uid="{59BFC8D9-6B1D-4960-8A29-1C520EE1469E}"/>
    <cellStyle name="Comma 6 3" xfId="7421" xr:uid="{72C78822-1E6B-42F4-9F23-0B0C927085C2}"/>
    <cellStyle name="Comma 7" xfId="6740" xr:uid="{90ED207C-A8D0-4672-8628-AB66956C013E}"/>
    <cellStyle name="Comma 7 2" xfId="7063" xr:uid="{059B8F55-975F-48EF-A597-A187CDB56071}"/>
    <cellStyle name="Comma 7 2 2" xfId="7704" xr:uid="{B50E29C1-EB52-43C2-B364-A2494314819F}"/>
    <cellStyle name="Comma 7 3" xfId="7381" xr:uid="{509339AB-BA21-44E8-8E82-FD3F3FA0D984}"/>
    <cellStyle name="Comma 8" xfId="6739" xr:uid="{1B06EB67-6A01-4F2E-9F23-8A845FC2F6B6}"/>
    <cellStyle name="Comma 8 2" xfId="7062" xr:uid="{51124E89-4361-4E2F-9A1D-E0AA57A837F0}"/>
    <cellStyle name="Comma 8 2 2" xfId="7703" xr:uid="{DA34EC5C-75ED-48A7-A6C4-5D1886F76520}"/>
    <cellStyle name="Comma 8 3" xfId="7380" xr:uid="{7985124C-6737-4358-8883-270CBFAC9923}"/>
    <cellStyle name="Comma 9" xfId="6741" xr:uid="{582E271F-9402-4359-9A8F-3CD49B672376}"/>
    <cellStyle name="Comma 9 2" xfId="7064" xr:uid="{29832D1F-EA00-475F-9DC5-47F09C31D85C}"/>
    <cellStyle name="Comma 9 2 2" xfId="7705" xr:uid="{B66B22E0-EF8A-4887-8BA7-A9EE951A4189}"/>
    <cellStyle name="Comma 9 3" xfId="7382" xr:uid="{266E4326-F856-4A04-84D4-68AD1BEC486D}"/>
    <cellStyle name="Comma_12matrix" xfId="1211" xr:uid="{04E6AA8B-145A-4C9D-9DDD-9D9AD88F8B59}"/>
    <cellStyle name="Comma0" xfId="1212" xr:uid="{D9001629-885B-4DD9-A71C-F2D99FEF7B05}"/>
    <cellStyle name="Comma0 10" xfId="3382" xr:uid="{8DDFF2D2-2371-451F-98EF-F379D562A1BF}"/>
    <cellStyle name="Comma0 2" xfId="1213" xr:uid="{CACF5EBD-8D9B-41F8-8793-772FC4BB796A}"/>
    <cellStyle name="Comma0 2 2" xfId="1214" xr:uid="{D35BF119-F789-4F8A-BC40-2716AA8A209F}"/>
    <cellStyle name="Comma0 2 2 2" xfId="4756" xr:uid="{D1813143-5F4B-4316-9397-11BBE1EEF9C7}"/>
    <cellStyle name="Comma0 2 3" xfId="1215" xr:uid="{00E51541-5166-4DC2-A7EC-AF820DCAE0BB}"/>
    <cellStyle name="Comma0 2 3 2" xfId="4757" xr:uid="{2F95507F-F877-4ADB-9294-1764CE02BF51}"/>
    <cellStyle name="Comma0 2 4" xfId="1216" xr:uid="{1D8E9CDA-9D02-4D06-9C81-E532A1486831}"/>
    <cellStyle name="Comma0 2 4 2" xfId="4758" xr:uid="{8C2AE457-2710-4FC0-9581-6BD6BB6BC1D6}"/>
    <cellStyle name="Comma0 2 5" xfId="1217" xr:uid="{B5ABB32D-B7BF-4A73-97D7-510A7771225C}"/>
    <cellStyle name="Comma0 2 5 2" xfId="4759" xr:uid="{64DD5D80-9EF8-4E2C-9709-3A362B35FD5C}"/>
    <cellStyle name="Comma0 2 6" xfId="1218" xr:uid="{4997E1E1-CA92-4B3B-9D18-B844A60E9FC9}"/>
    <cellStyle name="Comma0 2 6 2" xfId="4760" xr:uid="{0896EFF8-A894-444A-ABB5-E672F73C1468}"/>
    <cellStyle name="Comma0 2 7" xfId="1219" xr:uid="{12922AB2-46F2-41F2-B159-85B83A8F32C8}"/>
    <cellStyle name="Comma0 2 8" xfId="1220" xr:uid="{2903A4C3-5EBB-41AD-BEED-0DE26FED2D09}"/>
    <cellStyle name="Comma0 3" xfId="1221" xr:uid="{7DC66CB7-6153-43F0-A4AD-964D36452BA2}"/>
    <cellStyle name="Comma0 3 2" xfId="1222" xr:uid="{DB7C8C35-CA5E-4408-845E-F4DDF73CEC32}"/>
    <cellStyle name="Comma0 3 2 2" xfId="4761" xr:uid="{083FFD5F-E858-4E7B-8A08-48E29CFB0175}"/>
    <cellStyle name="Comma0 3 3" xfId="1223" xr:uid="{089FE18C-37EB-4559-9A0C-853FE85BFA25}"/>
    <cellStyle name="Comma0 3 3 2" xfId="4762" xr:uid="{1A63205E-3982-4341-AC9D-CCC28DED6EAB}"/>
    <cellStyle name="Comma0 3 4" xfId="1224" xr:uid="{F0AD8EC5-2C98-4E31-AD75-FA7A5BFB194A}"/>
    <cellStyle name="Comma0 3 4 2" xfId="4763" xr:uid="{78B5854C-FA24-48CB-A02B-32611D6F9D36}"/>
    <cellStyle name="Comma0 3 5" xfId="1225" xr:uid="{FF30EA85-B7CD-4EB4-A73B-2EBC4C298071}"/>
    <cellStyle name="Comma0 3 5 2" xfId="4764" xr:uid="{4779BC9B-6D37-4219-B228-06E352634570}"/>
    <cellStyle name="Comma0 3 6" xfId="1226" xr:uid="{DA83ACC2-7FD2-46A7-9741-6534EA4927E3}"/>
    <cellStyle name="Comma0 3 6 2" xfId="4765" xr:uid="{AED7FC85-E354-419B-8366-DC220082E4EC}"/>
    <cellStyle name="Comma0 3 7" xfId="1227" xr:uid="{8A877A62-72AF-4AB1-8EF7-34C0BA9FFC2B}"/>
    <cellStyle name="Comma0 3 8" xfId="1228" xr:uid="{94BA7284-4A56-4644-AF31-31FCF936CE5A}"/>
    <cellStyle name="Comma0 4" xfId="1229" xr:uid="{C77CE5CB-31C2-4149-AAB5-2BCBE933594B}"/>
    <cellStyle name="Comma0 4 2" xfId="1230" xr:uid="{01C85E9F-5C37-4D8F-AD2F-E28F5AEBA453}"/>
    <cellStyle name="Comma0 4 2 2" xfId="4766" xr:uid="{90D589F7-D178-465E-A155-CD8DE456087F}"/>
    <cellStyle name="Comma0 4 3" xfId="1231" xr:uid="{47627BA8-50C7-4102-91C1-B2339F9FA003}"/>
    <cellStyle name="Comma0 4 3 2" xfId="4767" xr:uid="{E726CD9E-1D51-45D0-B448-E974B7C59A09}"/>
    <cellStyle name="Comma0 4 4" xfId="1232" xr:uid="{784CA1FE-8150-4B06-A9A0-963289B1E873}"/>
    <cellStyle name="Comma0 4 4 2" xfId="4768" xr:uid="{E8F5462E-2996-4536-85B2-0628B68B91EE}"/>
    <cellStyle name="Comma0 4 5" xfId="1233" xr:uid="{32573BB4-249C-4CC5-AA77-DDA5C242F0A2}"/>
    <cellStyle name="Comma0 4 5 2" xfId="4769" xr:uid="{743B968B-4B01-4646-9F66-B816ED108F71}"/>
    <cellStyle name="Comma0 4 6" xfId="1234" xr:uid="{CEF6E13D-1668-494D-B1AF-DBBCAA5AB8A6}"/>
    <cellStyle name="Comma0 4 6 2" xfId="4770" xr:uid="{EE747F0F-50B6-489C-816D-7EBE78E4F299}"/>
    <cellStyle name="Comma0 4 7" xfId="1235" xr:uid="{CC63ABE7-0AE2-4023-A3A6-FB987A3B7673}"/>
    <cellStyle name="Comma0 4 8" xfId="1236" xr:uid="{671D87C8-0367-409A-A2B0-E46C502C5159}"/>
    <cellStyle name="Comma0 5" xfId="3383" xr:uid="{EE7041C0-96DB-46C7-90A1-52832D64355D}"/>
    <cellStyle name="Comma0 6" xfId="3384" xr:uid="{2F7AEBF8-65A7-4746-A832-1AEBD830F9A7}"/>
    <cellStyle name="Comma0 7" xfId="3385" xr:uid="{FBC1ADC7-B147-4AA5-B323-66B88BF9A327}"/>
    <cellStyle name="Comma0 8" xfId="3386" xr:uid="{5FB5695A-E561-4238-B2BB-423AB73DAEAB}"/>
    <cellStyle name="Comma0 9" xfId="3387" xr:uid="{6A2B399D-AECF-4AC5-8B5C-06BE5BECD8FC}"/>
    <cellStyle name="ContentsHyperlink" xfId="3730" xr:uid="{1EFABA15-CA41-4140-AC95-7C2F15E58FA7}"/>
    <cellStyle name="Currency" xfId="3743" xr:uid="{632F2C73-DF07-431C-990D-E000AE59EA9E}"/>
    <cellStyle name="Currency [0]" xfId="1237" xr:uid="{C0EC544C-9253-4D44-8476-5AC37360BFB4}"/>
    <cellStyle name="Currency [0] 2" xfId="3782" xr:uid="{92D63563-739E-4EAF-985D-3C9823116191}"/>
    <cellStyle name="Currency 2" xfId="1238" xr:uid="{A2A0C172-7D36-4708-AA12-526B5F8C8D65}"/>
    <cellStyle name="Currency 2 2" xfId="1239" xr:uid="{263662A6-B1D6-427E-805E-BBB08C4AC340}"/>
    <cellStyle name="Currency 2 3" xfId="1240" xr:uid="{5DE8D44E-8E1A-404E-9C01-AFF09D188D67}"/>
    <cellStyle name="Currency 2 4" xfId="1241" xr:uid="{FE1D3D28-0CEA-480B-A6A1-207DC74D252B}"/>
    <cellStyle name="Currency 2 5" xfId="1242" xr:uid="{E28E2A90-A442-4DD9-89CC-939A918B3DDC}"/>
    <cellStyle name="Currency 2 6" xfId="1243" xr:uid="{748B6B1E-54EF-4A8D-9CBE-C9CAAB338728}"/>
    <cellStyle name="Currency 2 7" xfId="1244" xr:uid="{745BE2CE-7E63-45C1-B178-F3B9B43DCF54}"/>
    <cellStyle name="Currency 2 8" xfId="1245" xr:uid="{1DCA51C0-9883-4919-8F5D-AF0B83F9091F}"/>
    <cellStyle name="Currency 2_ActiFijos" xfId="1246" xr:uid="{979105B3-0DDD-4994-88E1-E88DE0732E80}"/>
    <cellStyle name="Currency 3" xfId="1247" xr:uid="{8A3F78DC-3016-487C-9667-F2BE0CE98CEE}"/>
    <cellStyle name="Currency 3 2" xfId="1248" xr:uid="{96A15BC8-08AE-4113-8144-7BB3AD15967F}"/>
    <cellStyle name="Currency 3 3" xfId="1249" xr:uid="{0D925EE0-1998-4CA9-97FC-51CC0AEC9B64}"/>
    <cellStyle name="Currency 3 4" xfId="1250" xr:uid="{84DB9A1E-D019-4D3D-809F-44F0066A91F3}"/>
    <cellStyle name="Currency 3 5" xfId="1251" xr:uid="{1B634FEA-5113-4AB2-BEFB-E47BF00669A1}"/>
    <cellStyle name="Currency 3 6" xfId="1252" xr:uid="{64D0B881-B9D2-4ED5-A901-2552CF78F31F}"/>
    <cellStyle name="Currency 3 7" xfId="1253" xr:uid="{1F120C67-480D-421E-8DF6-3BD78126958E}"/>
    <cellStyle name="Currency 3 8" xfId="1254" xr:uid="{230815A0-6500-4110-93CD-3BA4E995D06B}"/>
    <cellStyle name="Currency 3_ActiFijos" xfId="1255" xr:uid="{267CD837-BDA4-4FEF-93F1-81C71F52DDB0}"/>
    <cellStyle name="Currency 4" xfId="1256" xr:uid="{82BDAD69-CED5-413D-BB0A-E456B9633B9A}"/>
    <cellStyle name="Currency 4 2" xfId="1257" xr:uid="{7E424E45-5AAC-4407-B05A-0851BCE2A970}"/>
    <cellStyle name="Currency 4 3" xfId="1258" xr:uid="{5E6571AD-15D7-4541-8942-74B13C89E715}"/>
    <cellStyle name="Currency 4 4" xfId="1259" xr:uid="{E637AC12-E17E-4187-81B1-29DB3C9FA456}"/>
    <cellStyle name="Currency 4 5" xfId="1260" xr:uid="{1890D00D-68B6-4464-B912-99351812780B}"/>
    <cellStyle name="Currency 4 6" xfId="1261" xr:uid="{C0104CAF-108D-419A-96FF-9D8788686AF3}"/>
    <cellStyle name="Currency 4 7" xfId="1262" xr:uid="{268354F5-204F-4A82-94F2-00A0392D487C}"/>
    <cellStyle name="Currency 4 8" xfId="1263" xr:uid="{B154A4B0-67AC-4DC4-939F-A5A91B29E37D}"/>
    <cellStyle name="Currency 4_ActiFijos" xfId="1264" xr:uid="{77DEDB99-9C60-46EC-989D-DCD5D4616EFC}"/>
    <cellStyle name="Currency_12matrix" xfId="1265" xr:uid="{C8D4E44C-6151-4370-909C-4709B4969149}"/>
    <cellStyle name="Currency0" xfId="1266" xr:uid="{A47D46F1-5828-485B-8938-E94A7AEF8EC3}"/>
    <cellStyle name="Currency0 10" xfId="1267" xr:uid="{0C445610-D7BE-4B8E-BC3B-8DEBC593F06C}"/>
    <cellStyle name="Currency0 10 2" xfId="4771" xr:uid="{128B2C3C-8DC2-4CEE-B5F2-523D052BD692}"/>
    <cellStyle name="Currency0 11" xfId="1268" xr:uid="{48A03221-345D-4C6C-9064-B29101BFDD07}"/>
    <cellStyle name="Currency0 11 2" xfId="4772" xr:uid="{316BAE3A-9514-464F-AC03-E69AFE027858}"/>
    <cellStyle name="Currency0 12" xfId="1269" xr:uid="{07EBEC6E-A4E4-4671-AF1B-440EEA767A3E}"/>
    <cellStyle name="Currency0 13" xfId="1270" xr:uid="{99C12BFA-9DAB-415A-8197-65C6F3D2BFC2}"/>
    <cellStyle name="Currency0 2" xfId="1271" xr:uid="{2A7AA6B1-2E54-4840-9DB7-F927D276C44A}"/>
    <cellStyle name="Currency0 2 2" xfId="1272" xr:uid="{63B1C559-1F54-4297-BDD0-8F80CD9A09A8}"/>
    <cellStyle name="Currency0 2 2 2" xfId="4773" xr:uid="{15038C32-87E6-4F21-950E-522D343DA6AC}"/>
    <cellStyle name="Currency0 2 3" xfId="1273" xr:uid="{1FA4AFE1-7EF0-4AA1-8376-03AD5865F225}"/>
    <cellStyle name="Currency0 2 3 2" xfId="4774" xr:uid="{1201279F-EFCA-4AE1-9726-E215322FEA10}"/>
    <cellStyle name="Currency0 2 4" xfId="1274" xr:uid="{984036E8-1EA4-4C85-BB06-CAE4BD9E6C7E}"/>
    <cellStyle name="Currency0 2 4 2" xfId="4775" xr:uid="{A1402C41-A071-4086-8180-7653C2E7309E}"/>
    <cellStyle name="Currency0 2 5" xfId="1275" xr:uid="{7238B425-3380-4E63-8F85-57B93F265686}"/>
    <cellStyle name="Currency0 2 5 2" xfId="4776" xr:uid="{E4EDD898-659B-41FA-98C3-B85E8B131EA6}"/>
    <cellStyle name="Currency0 2 6" xfId="1276" xr:uid="{336968E8-5EE3-47E0-AC09-6F1A9C04DA5B}"/>
    <cellStyle name="Currency0 2 6 2" xfId="4777" xr:uid="{87D9CAB3-0F32-4EF6-A847-8C69C520C977}"/>
    <cellStyle name="Currency0 2 7" xfId="1277" xr:uid="{C96FEDB8-D183-4C2A-A161-1ADF82B2B22B}"/>
    <cellStyle name="Currency0 2 8" xfId="1278" xr:uid="{0A46E357-04E2-4736-A6AA-7A54506D2A4E}"/>
    <cellStyle name="Currency0 3" xfId="1279" xr:uid="{71BB2570-A4DA-4FA6-BCC2-C276CCA84B40}"/>
    <cellStyle name="Currency0 3 2" xfId="1280" xr:uid="{CC9839C8-4B23-445B-B230-78BFB0FB89AE}"/>
    <cellStyle name="Currency0 3 2 2" xfId="4778" xr:uid="{91C09D14-D6AA-440D-BAF8-9937A9D14632}"/>
    <cellStyle name="Currency0 3 3" xfId="1281" xr:uid="{971C67D3-6B2B-49EA-88FB-E253A0B7B575}"/>
    <cellStyle name="Currency0 3 3 2" xfId="4779" xr:uid="{8EA20FBF-0083-40DB-B120-E39770B3932C}"/>
    <cellStyle name="Currency0 3 4" xfId="1282" xr:uid="{AB7B180D-7138-41A4-A0FB-DA63A15214AE}"/>
    <cellStyle name="Currency0 3 4 2" xfId="4780" xr:uid="{95A56D4D-7752-4C6C-A14B-7E974EAD49DB}"/>
    <cellStyle name="Currency0 3 5" xfId="1283" xr:uid="{F44A81E4-24BA-42E7-B3CB-7DC2FF46B6C5}"/>
    <cellStyle name="Currency0 3 5 2" xfId="4781" xr:uid="{88F8E832-5E7A-4213-B50F-031A52C740EA}"/>
    <cellStyle name="Currency0 3 6" xfId="1284" xr:uid="{F9DA4E11-8FE9-4DA5-8A15-A106484733A9}"/>
    <cellStyle name="Currency0 3 6 2" xfId="4782" xr:uid="{E3CE6277-E8B8-4913-8DA4-2E9A63C1FF78}"/>
    <cellStyle name="Currency0 3 7" xfId="1285" xr:uid="{264CBDAB-BDDC-4021-9AC0-BB584C7A89EE}"/>
    <cellStyle name="Currency0 3 8" xfId="1286" xr:uid="{C00FF50C-F163-47B0-B9EA-CE7DCC5088C8}"/>
    <cellStyle name="Currency0 4" xfId="1287" xr:uid="{91310922-A5AC-4BF2-AE8A-D183BCF4FB11}"/>
    <cellStyle name="Currency0 4 2" xfId="1288" xr:uid="{0A0A0725-588F-4ECB-9617-C2D07752A8D7}"/>
    <cellStyle name="Currency0 4 2 2" xfId="4783" xr:uid="{B4A29D82-1075-4DDC-BD58-6913A8A55112}"/>
    <cellStyle name="Currency0 4 3" xfId="1289" xr:uid="{B63513AA-0EBC-4DF8-8C4F-672E866C9344}"/>
    <cellStyle name="Currency0 4 3 2" xfId="4784" xr:uid="{1FBE89A6-0D46-4AE9-98C1-ED15A4522688}"/>
    <cellStyle name="Currency0 4 4" xfId="1290" xr:uid="{8F59C203-4A1F-4716-A3E5-56A1632F6424}"/>
    <cellStyle name="Currency0 4 4 2" xfId="4785" xr:uid="{46234018-6F52-42D1-96A9-CA8C85233F5B}"/>
    <cellStyle name="Currency0 4 5" xfId="1291" xr:uid="{EF371624-7964-4BD4-91CA-097C51BE8B89}"/>
    <cellStyle name="Currency0 4 5 2" xfId="4786" xr:uid="{D9B3EC5D-FB1C-470D-9589-3043FD3DADBA}"/>
    <cellStyle name="Currency0 4 6" xfId="1292" xr:uid="{4C175A70-BD01-4C14-A4BE-7FBA9CAEC539}"/>
    <cellStyle name="Currency0 4 6 2" xfId="4787" xr:uid="{2E24E633-AAD8-492B-B69F-A092B3F5C10C}"/>
    <cellStyle name="Currency0 4 7" xfId="1293" xr:uid="{8515AA1F-F9CB-430D-AB0A-D54B7721C454}"/>
    <cellStyle name="Currency0 4 8" xfId="1294" xr:uid="{0B02BDFC-297F-4498-BB03-3FBC79772C0F}"/>
    <cellStyle name="Currency0 5" xfId="1295" xr:uid="{1E16B272-B663-448A-85D5-A5A9892A85CD}"/>
    <cellStyle name="Currency0 5 2" xfId="4788" xr:uid="{0BAE9D7B-5971-4E3B-9A99-1497C5A3DA4B}"/>
    <cellStyle name="Currency0 6" xfId="1296" xr:uid="{A3E80594-25F9-49EF-BD3B-A4CCE58C234E}"/>
    <cellStyle name="Currency0 6 2" xfId="4789" xr:uid="{3CE4AEC8-853C-48AC-905E-B61B77BD5030}"/>
    <cellStyle name="Currency0 7" xfId="1297" xr:uid="{FCF2FCF8-9D56-49EB-AE61-69706ACB4DB7}"/>
    <cellStyle name="Currency0 7 2" xfId="4790" xr:uid="{2D6AF703-B92E-4487-87F7-9950CD350E60}"/>
    <cellStyle name="Currency0 8" xfId="1298" xr:uid="{3508CFDB-5050-443C-AB59-E32C99CFDC0C}"/>
    <cellStyle name="Currency0 8 2" xfId="4791" xr:uid="{C552E3AC-21C1-4321-B678-DFCF4BC68D6B}"/>
    <cellStyle name="Currency0 9" xfId="1299" xr:uid="{C24B1717-D5D8-437E-ACA3-CA21FEE87757}"/>
    <cellStyle name="Currency0 9 2" xfId="4792" xr:uid="{E3277F7D-0C53-432C-A684-CD14A51CBBFD}"/>
    <cellStyle name="Currency0_Cuadros Excel  kilometros 2008" xfId="1300" xr:uid="{51E77E55-2865-4EF6-A774-18A58F87A9EA}"/>
    <cellStyle name="Date" xfId="1301" xr:uid="{9AECCCE5-602A-4105-B095-10BFFD4906BE}"/>
    <cellStyle name="Date 10" xfId="1302" xr:uid="{6085571E-124B-4619-8A20-F2D3B4CD73E8}"/>
    <cellStyle name="Date 10 2" xfId="4793" xr:uid="{0256E8CA-C20A-4E7B-B120-7C2F0D4095BE}"/>
    <cellStyle name="Date 11" xfId="1303" xr:uid="{795D5C30-3607-44EA-A6A9-EA71F9D52C89}"/>
    <cellStyle name="Date 11 2" xfId="4794" xr:uid="{979158AE-E82A-49BD-9352-76AA76317AEF}"/>
    <cellStyle name="Date 12" xfId="1304" xr:uid="{BAE8DDCD-BA21-4170-8316-A8D8CFB09C73}"/>
    <cellStyle name="Date 13" xfId="1305" xr:uid="{2A1F5840-29DE-408D-8617-43AB756DECC4}"/>
    <cellStyle name="Date 2" xfId="1306" xr:uid="{174DAF8B-4717-434B-A98C-FBE9CDD1644D}"/>
    <cellStyle name="Date 2 2" xfId="1307" xr:uid="{40A235CC-CFC7-4790-9ACD-CC6661D59915}"/>
    <cellStyle name="Date 2 2 2" xfId="4795" xr:uid="{44302449-14A9-4B50-AD9A-87AFAC804ABA}"/>
    <cellStyle name="Date 2 3" xfId="1308" xr:uid="{B3359EEF-94EF-4C5C-BA30-1F0AB9069F15}"/>
    <cellStyle name="Date 2 3 2" xfId="4796" xr:uid="{EF32E32A-4824-46A8-9F3D-DA7FF733832D}"/>
    <cellStyle name="Date 2 4" xfId="1309" xr:uid="{6CE0C781-6CD8-4365-A73A-8DED23EE6135}"/>
    <cellStyle name="Date 2 4 2" xfId="4797" xr:uid="{2C908F42-8ADC-4FF2-8514-9CA909A85800}"/>
    <cellStyle name="Date 2 5" xfId="1310" xr:uid="{4734AEB5-E4A2-4DE0-9BAF-426FBA211303}"/>
    <cellStyle name="Date 2 5 2" xfId="4798" xr:uid="{075F73F2-371B-4014-AD1F-245B5328D2FF}"/>
    <cellStyle name="Date 2 6" xfId="1311" xr:uid="{996BBF89-A193-4F0E-8A83-173EC6EC1CD5}"/>
    <cellStyle name="Date 2 6 2" xfId="4799" xr:uid="{6AC0E80F-BE58-4578-BBE2-06A4B713504E}"/>
    <cellStyle name="Date 2 7" xfId="1312" xr:uid="{814C336C-0043-41F2-AB33-03CCE293E395}"/>
    <cellStyle name="Date 2 8" xfId="1313" xr:uid="{D2029EF9-A0FB-4829-A978-92209159D6F6}"/>
    <cellStyle name="Date 3" xfId="1314" xr:uid="{0B2C38E3-296F-49BB-A2FC-DD82E5F0EFAB}"/>
    <cellStyle name="Date 3 2" xfId="1315" xr:uid="{21EA029E-DD6A-4EDE-9059-F230AAB365EF}"/>
    <cellStyle name="Date 3 2 2" xfId="4800" xr:uid="{C5214AD2-2F42-48BD-9027-E7797F0280FF}"/>
    <cellStyle name="Date 3 3" xfId="1316" xr:uid="{561CC5E5-550E-45FB-8C7A-7C8FB4AA026E}"/>
    <cellStyle name="Date 3 3 2" xfId="4801" xr:uid="{1072562E-D00F-4648-B526-D84D0AE8600D}"/>
    <cellStyle name="Date 3 4" xfId="1317" xr:uid="{92DABCFB-90A5-4DF8-96A5-CD0C8D6A3924}"/>
    <cellStyle name="Date 3 4 2" xfId="4802" xr:uid="{EF97C0FD-C82B-4DAD-B014-4EFA0F51049D}"/>
    <cellStyle name="Date 3 5" xfId="1318" xr:uid="{2EFC0782-C133-4BCE-B681-81C0857BC8CC}"/>
    <cellStyle name="Date 3 5 2" xfId="4803" xr:uid="{2928D126-3EB1-4372-B335-1F1068F76352}"/>
    <cellStyle name="Date 3 6" xfId="1319" xr:uid="{621DAADC-D600-4F95-ABA9-1FB19811F671}"/>
    <cellStyle name="Date 3 6 2" xfId="4804" xr:uid="{99AEE9B5-0AD4-4159-A1AD-AEB52BDE44B7}"/>
    <cellStyle name="Date 3 7" xfId="1320" xr:uid="{408DC1AB-570B-4F1D-AB5E-AA9D74FDF071}"/>
    <cellStyle name="Date 3 8" xfId="1321" xr:uid="{73FFA8D6-3847-4CE3-B839-E063859A3844}"/>
    <cellStyle name="Date 4" xfId="1322" xr:uid="{EA4627C3-C9F5-43EB-9328-A8BE85CCB3B9}"/>
    <cellStyle name="Date 4 2" xfId="1323" xr:uid="{BBD6A041-D59E-4010-A3A5-36543814DC24}"/>
    <cellStyle name="Date 4 2 2" xfId="4805" xr:uid="{124EBD9D-CEAD-461A-8642-9B2D40229864}"/>
    <cellStyle name="Date 4 3" xfId="1324" xr:uid="{B0A5BEFB-B35A-4E60-825D-D6EB5DE2DFAE}"/>
    <cellStyle name="Date 4 3 2" xfId="4806" xr:uid="{C5DD7B9F-1FC3-4A23-A0E6-009555058EB9}"/>
    <cellStyle name="Date 4 4" xfId="1325" xr:uid="{9FAAC6EB-E7C6-410C-8183-7E78A49DA12F}"/>
    <cellStyle name="Date 4 4 2" xfId="4807" xr:uid="{56811013-A3C2-4D8D-BAFC-7F153B0D8B16}"/>
    <cellStyle name="Date 4 5" xfId="1326" xr:uid="{67F6E9FC-613F-4518-A4A0-B0FBFAAD68AC}"/>
    <cellStyle name="Date 4 5 2" xfId="4808" xr:uid="{F1541042-AF25-4468-BC38-0A4BDC8EA2F0}"/>
    <cellStyle name="Date 4 6" xfId="1327" xr:uid="{F1F85B1B-0ECE-4C3D-8586-1A71682C1BA2}"/>
    <cellStyle name="Date 4 6 2" xfId="4809" xr:uid="{1F5E71AA-AD4A-4A0E-8032-6F6BE20AA03D}"/>
    <cellStyle name="Date 4 7" xfId="1328" xr:uid="{F716F7ED-B046-4240-BC29-495E919DC3E7}"/>
    <cellStyle name="Date 4 8" xfId="1329" xr:uid="{1E552165-7E36-40D2-B1E3-6D19D91253B0}"/>
    <cellStyle name="Date 5" xfId="1330" xr:uid="{7CB79B91-07A5-4808-B866-6A1AB993462C}"/>
    <cellStyle name="Date 5 2" xfId="4810" xr:uid="{4284A9F6-DFCD-4DAB-BD99-9A4AB2528C2C}"/>
    <cellStyle name="Date 6" xfId="1331" xr:uid="{6B090CC2-0DAA-4744-A919-E3841BCE812E}"/>
    <cellStyle name="Date 6 2" xfId="4811" xr:uid="{15B213BC-1FE9-4F8B-B77D-D2519514DF57}"/>
    <cellStyle name="Date 7" xfId="1332" xr:uid="{BD7DD30F-774B-48E0-ADA5-7B52BF4A3A97}"/>
    <cellStyle name="Date 7 2" xfId="4812" xr:uid="{9B276125-819A-4E3A-90F2-5CEE48E2B833}"/>
    <cellStyle name="Date 8" xfId="1333" xr:uid="{FFD13897-F9F5-4B9E-9B6F-0E9B3297D90A}"/>
    <cellStyle name="Date 8 2" xfId="4813" xr:uid="{FFA909E3-F060-4220-A3C3-6CE225B9D6A8}"/>
    <cellStyle name="Date 9" xfId="1334" xr:uid="{05711419-BEE0-413F-B43B-EB3D688C3FB3}"/>
    <cellStyle name="Date 9 2" xfId="4814" xr:uid="{D32FEBDC-D948-4485-9B72-66CB319C4C1C}"/>
    <cellStyle name="Dia" xfId="3388" xr:uid="{8ABFA1CC-1E60-4EB6-BE10-7C8850C4A938}"/>
    <cellStyle name="Encabez1" xfId="3389" xr:uid="{08189FFA-8C5D-471B-96FD-74046706A3B1}"/>
    <cellStyle name="Encabez2" xfId="3390" xr:uid="{4FE22B32-7CC8-45B7-9AFA-23A73FC097EC}"/>
    <cellStyle name="Encabezado 4 10" xfId="4815" xr:uid="{FBCDF3AF-0195-41FB-8BC3-6214539D65D1}"/>
    <cellStyle name="Encabezado 4 10 2" xfId="4816" xr:uid="{0DA4A787-BB9A-4F36-8985-8B06683A8066}"/>
    <cellStyle name="Encabezado 4 11" xfId="4817" xr:uid="{3448FE2D-B07B-4F3B-AFBA-4F670B1D339F}"/>
    <cellStyle name="Encabezado 4 11 2" xfId="4818" xr:uid="{475AC6F8-9D00-4C15-8619-037709517ECE}"/>
    <cellStyle name="Encabezado 4 12" xfId="4819" xr:uid="{FF437F90-4CB0-4792-863D-F6DA15E3C926}"/>
    <cellStyle name="Encabezado 4 12 2" xfId="4820" xr:uid="{F47FA760-4351-46DC-8FF9-B8ED783B93BA}"/>
    <cellStyle name="Encabezado 4 13" xfId="4821" xr:uid="{8AF58468-5786-4833-8E84-68DC1C267BE6}"/>
    <cellStyle name="Encabezado 4 13 2" xfId="4822" xr:uid="{40B35511-9F50-4878-8C3B-4F2ADAA7BA86}"/>
    <cellStyle name="Encabezado 4 14" xfId="4823" xr:uid="{72F089CD-3195-4F29-AB4C-78A33E5A0319}"/>
    <cellStyle name="Encabezado 4 14 2" xfId="4824" xr:uid="{E8015937-5A18-461F-A3FE-E33C41107CE8}"/>
    <cellStyle name="Encabezado 4 15" xfId="4825" xr:uid="{BA4A3F51-A18F-4F3C-8235-4A2C2C4DF6BA}"/>
    <cellStyle name="Encabezado 4 2" xfId="3391" xr:uid="{9EDD82C0-5827-4519-8BA5-830978A81506}"/>
    <cellStyle name="Encabezado 4 2 2" xfId="4826" xr:uid="{DCD80B16-5648-4FC6-9780-16A8EEC1DFFE}"/>
    <cellStyle name="Encabezado 4 2 3" xfId="4827" xr:uid="{695A9566-B8BB-40C4-AF62-2D89CD01DB54}"/>
    <cellStyle name="Encabezado 4 2 4" xfId="4828" xr:uid="{C0147B30-C3B2-46A4-9BD4-D9F9D137ACB4}"/>
    <cellStyle name="Encabezado 4 3" xfId="3392" xr:uid="{6EB06B71-77FF-40F1-ABD3-BB8FA7A43320}"/>
    <cellStyle name="Encabezado 4 3 2" xfId="4829" xr:uid="{84CABBC8-0D31-4EC2-B91E-76C6440CFD07}"/>
    <cellStyle name="Encabezado 4 3 3" xfId="4830" xr:uid="{49B808E8-0DFF-402D-958F-6493AF36B724}"/>
    <cellStyle name="Encabezado 4 4" xfId="4831" xr:uid="{542C1579-AEA5-458D-83DA-02E401785CB5}"/>
    <cellStyle name="Encabezado 4 4 2" xfId="4832" xr:uid="{1B5F70D0-197F-4AE4-9E7D-F49A35B0EE4F}"/>
    <cellStyle name="Encabezado 4 4 3" xfId="4833" xr:uid="{32C7DBBF-52A0-42E0-A945-EAAEEED04217}"/>
    <cellStyle name="Encabezado 4 5" xfId="4834" xr:uid="{7A64CB2A-123C-4912-8144-3557340808DF}"/>
    <cellStyle name="Encabezado 4 6" xfId="4835" xr:uid="{6C22F716-6D2B-43D7-9312-351E82CF88C3}"/>
    <cellStyle name="Encabezado 4 7" xfId="4836" xr:uid="{C06AFF55-D678-4651-BE31-97DA1DE08B8C}"/>
    <cellStyle name="Encabezado 4 8" xfId="4837" xr:uid="{6C6D3648-7181-47B4-B324-0A69CBFDC4C8}"/>
    <cellStyle name="Encabezado 4 9" xfId="4838" xr:uid="{4C2B494A-5FAB-4841-BAF7-AD0B46DE2440}"/>
    <cellStyle name="Ênfase1" xfId="1335" xr:uid="{EB98F7D3-3DFC-43E5-A1DA-2269FEDD73F4}"/>
    <cellStyle name="Ênfase2" xfId="1336" xr:uid="{197CE054-E81E-4581-BF12-55192B176AAE}"/>
    <cellStyle name="Ênfase3" xfId="1337" xr:uid="{29401218-D4EC-442A-B781-7C555BE2B800}"/>
    <cellStyle name="Ênfase4" xfId="1338" xr:uid="{3261CF51-1B1F-43C8-96E6-5C9715DB49DB}"/>
    <cellStyle name="Ênfase5" xfId="1339" xr:uid="{7E4528A9-4E72-4C94-9E18-E8ABDF3E35FD}"/>
    <cellStyle name="Ênfase6" xfId="1340" xr:uid="{6278D15F-4450-4EFB-BF1F-A7EF46B4A5FD}"/>
    <cellStyle name="Énfasis1 10" xfId="4839" xr:uid="{2BC586E9-C61B-4831-8A20-74A548F26343}"/>
    <cellStyle name="Énfasis1 11" xfId="4840" xr:uid="{5B052035-94A7-4ACF-9D34-C1D73B1E84EB}"/>
    <cellStyle name="Énfasis1 12" xfId="4841" xr:uid="{2FF183B5-7055-4D50-9664-81ADB9F219DC}"/>
    <cellStyle name="Énfasis1 12 2" xfId="4842" xr:uid="{0F032D1C-A151-4DF2-BFEB-97C0E54539C8}"/>
    <cellStyle name="Énfasis1 13" xfId="4843" xr:uid="{2EAE81FF-1BB4-4E9F-86D0-16D666837CE1}"/>
    <cellStyle name="Énfasis1 13 2" xfId="4844" xr:uid="{4D66AB39-7A20-4991-AE06-5630B9774886}"/>
    <cellStyle name="Énfasis1 14" xfId="4845" xr:uid="{22B56507-ACC1-4895-BF58-40A80DFFB6F3}"/>
    <cellStyle name="Énfasis1 14 2" xfId="4846" xr:uid="{C4A0FBBC-C4E8-4DD2-85F8-AD49FCAFCB90}"/>
    <cellStyle name="Énfasis1 15" xfId="4847" xr:uid="{6C81FDF1-1CB5-4D80-A377-255765877853}"/>
    <cellStyle name="Énfasis1 15 2" xfId="4848" xr:uid="{99E0CCB9-9DD6-4AEF-B054-15D8ECCA6E6D}"/>
    <cellStyle name="Énfasis1 16" xfId="4849" xr:uid="{57CA7381-EB2B-4D00-9BDE-4E05C497D24B}"/>
    <cellStyle name="Énfasis1 16 2" xfId="4850" xr:uid="{DAEF4226-202F-4B17-BA3C-34F85B5C042F}"/>
    <cellStyle name="Énfasis1 17" xfId="4851" xr:uid="{EDA5BFF0-2167-48EB-9136-30C815EC675A}"/>
    <cellStyle name="Énfasis1 2" xfId="1341" xr:uid="{99847CEF-7F18-42CF-89AD-7BE0BFE22F85}"/>
    <cellStyle name="Énfasis1 2 2" xfId="1342" xr:uid="{56D23795-C40A-4954-953D-DE111F601C3C}"/>
    <cellStyle name="Énfasis1 2 2 2" xfId="4852" xr:uid="{46BE94B7-D8C7-4E57-A11F-50E4CDBC5CC2}"/>
    <cellStyle name="Énfasis1 2 2 3" xfId="4853" xr:uid="{F8865C8E-6286-4B20-B358-56CF9D0E4EFF}"/>
    <cellStyle name="Énfasis1 2 2 4" xfId="4854" xr:uid="{E6527826-8B82-448B-A406-87AD1A73AA0F}"/>
    <cellStyle name="Énfasis1 2 2 4 2" xfId="4855" xr:uid="{382B7230-8092-41EB-AF67-71A95E1FC789}"/>
    <cellStyle name="Énfasis1 2 3" xfId="4856" xr:uid="{4A9C45B1-3EA1-4C58-AD18-3F73F3F5EB70}"/>
    <cellStyle name="Énfasis1 2 4" xfId="4857" xr:uid="{C280230C-F34F-47B6-8A76-2A6831566D46}"/>
    <cellStyle name="Énfasis1 2 4 2" xfId="4858" xr:uid="{7AADB561-3679-4734-A7F0-7D03F06FF22C}"/>
    <cellStyle name="Énfasis1 2 5" xfId="4859" xr:uid="{43F3972E-2632-44FA-9CEB-3DEB2CDFA6D9}"/>
    <cellStyle name="Énfasis1 2_Deuda septiembre_marcos" xfId="1343" xr:uid="{EA0F7F87-E354-4986-9B34-AEDC0EF620C6}"/>
    <cellStyle name="Énfasis1 3" xfId="1344" xr:uid="{3B271529-3F1C-4B07-87C1-8A607CF61A9C}"/>
    <cellStyle name="Énfasis1 4" xfId="4860" xr:uid="{DB2DBA23-A179-4F86-A3D4-396A82133C71}"/>
    <cellStyle name="Énfasis1 4 2" xfId="4861" xr:uid="{0CAAC192-AAB6-4509-9485-67E32797BE4D}"/>
    <cellStyle name="Énfasis1 4 3" xfId="4862" xr:uid="{B763007A-BD8B-45FF-9EB8-09941E4715CB}"/>
    <cellStyle name="Énfasis1 5" xfId="4863" xr:uid="{240C8296-9041-47BB-AAC3-33B2C7DBA0A0}"/>
    <cellStyle name="Énfasis1 5 2" xfId="4864" xr:uid="{452A7D0A-77C5-45A8-A66C-9D810B530A00}"/>
    <cellStyle name="Énfasis1 5 3" xfId="4865" xr:uid="{4C2880BB-86EE-47FD-B4AE-DE4598682A0F}"/>
    <cellStyle name="Énfasis1 6" xfId="4866" xr:uid="{A01BA433-96AC-4DCA-AAA8-162FF7BBCC0D}"/>
    <cellStyle name="Énfasis1 7" xfId="4867" xr:uid="{515AE93E-B42C-4D7C-A651-DC7D6FFF9EE0}"/>
    <cellStyle name="Énfasis1 8" xfId="4868" xr:uid="{3CAB3028-598C-4A57-B852-4BB3F42C5AAE}"/>
    <cellStyle name="Énfasis1 9" xfId="4869" xr:uid="{9DE46D44-74C1-4798-A81B-780634984233}"/>
    <cellStyle name="Énfasis2 10" xfId="4870" xr:uid="{D2E3B397-9550-4320-A288-05F7C1ECE127}"/>
    <cellStyle name="Énfasis2 10 2" xfId="4871" xr:uid="{9A35ACDD-A4E1-4A0B-893E-72FD0B627315}"/>
    <cellStyle name="Énfasis2 11" xfId="4872" xr:uid="{CF3EF36E-57AD-4509-AA1E-3481FF2A44BF}"/>
    <cellStyle name="Énfasis2 11 2" xfId="4873" xr:uid="{08A03908-8E2C-457B-A1E8-0CD4A49E8614}"/>
    <cellStyle name="Énfasis2 12" xfId="4874" xr:uid="{2B961DE2-22F7-4B5C-B5BB-051691D421BB}"/>
    <cellStyle name="Énfasis2 12 2" xfId="4875" xr:uid="{A25E7E84-69EC-447E-9EA7-502851380AED}"/>
    <cellStyle name="Énfasis2 13" xfId="4876" xr:uid="{0BD90919-F7BA-47B9-A54F-591D457038D5}"/>
    <cellStyle name="Énfasis2 13 2" xfId="4877" xr:uid="{020D2466-5FD4-4A4B-ABC5-00936A72E1D0}"/>
    <cellStyle name="Énfasis2 14" xfId="4878" xr:uid="{BA3F9860-D253-4E30-8B9E-79D68F93B074}"/>
    <cellStyle name="Énfasis2 14 2" xfId="4879" xr:uid="{E22E7CA6-DBA3-450B-A60A-C6AB766DA45B}"/>
    <cellStyle name="Énfasis2 15" xfId="4880" xr:uid="{19E60F79-D7B9-4179-BEBC-D0DAF0AD95CB}"/>
    <cellStyle name="Énfasis2 2" xfId="3393" xr:uid="{5AB97591-4A25-49B3-9425-D399B8078A23}"/>
    <cellStyle name="Énfasis2 2 2" xfId="4881" xr:uid="{A88526D3-F930-4892-A9E0-6659D1A677A8}"/>
    <cellStyle name="Énfasis2 2 3" xfId="4882" xr:uid="{90D6346C-A38C-4BA0-9BAE-6D480D83E492}"/>
    <cellStyle name="Énfasis2 2 4" xfId="4883" xr:uid="{986A623C-FDA9-43BA-A479-20F917FE3E15}"/>
    <cellStyle name="Énfasis2 3" xfId="3394" xr:uid="{58051F3D-DF3B-429E-A13B-3D57C7B3F72E}"/>
    <cellStyle name="Énfasis2 3 2" xfId="4884" xr:uid="{30EC3851-56F0-4606-AB79-5DAA2DBFC395}"/>
    <cellStyle name="Énfasis2 3 3" xfId="4885" xr:uid="{D3CA5FFA-9BF3-4C2B-8766-FE16D6B90F93}"/>
    <cellStyle name="Énfasis2 4" xfId="4886" xr:uid="{181E3C85-C19F-4C81-863D-4FFD7174F62C}"/>
    <cellStyle name="Énfasis2 4 2" xfId="4887" xr:uid="{69F844BF-46BC-4585-B3FC-25FBB8D78DD3}"/>
    <cellStyle name="Énfasis2 4 3" xfId="4888" xr:uid="{3D35803F-0522-4E97-A1FF-966550529A62}"/>
    <cellStyle name="Énfasis2 5" xfId="4889" xr:uid="{424B4762-91A3-481F-96C0-B4FDD19BADB1}"/>
    <cellStyle name="Énfasis2 6" xfId="4890" xr:uid="{0C159D82-766D-44CD-BC04-32286C1D2EDD}"/>
    <cellStyle name="Énfasis2 7" xfId="4891" xr:uid="{534C82AC-ADF2-4CCC-BF6C-BBE251C406E5}"/>
    <cellStyle name="Énfasis2 8" xfId="4892" xr:uid="{0B490F58-38AB-4FFE-AFDD-82BCAA968414}"/>
    <cellStyle name="Énfasis2 9" xfId="4893" xr:uid="{F8127DB4-793B-41A9-811D-57C3763CC182}"/>
    <cellStyle name="Énfasis3 10" xfId="4894" xr:uid="{D0392972-1EC1-4021-AE3B-245762299631}"/>
    <cellStyle name="Énfasis3 11" xfId="4895" xr:uid="{2AB3FE3C-8998-4340-898A-08B242A6A47C}"/>
    <cellStyle name="Énfasis3 11 2" xfId="4896" xr:uid="{FD1127F8-E0B1-4962-B7BE-5A6E11D36C78}"/>
    <cellStyle name="Énfasis3 12" xfId="4897" xr:uid="{9173FA7A-1589-4EF9-AF91-932EF59EEB7B}"/>
    <cellStyle name="Énfasis3 12 2" xfId="4898" xr:uid="{F52814DC-15B8-414E-9BD6-28572DA944F7}"/>
    <cellStyle name="Énfasis3 13" xfId="4899" xr:uid="{2E8CB089-B111-4FD1-B00A-3F088D24A4A3}"/>
    <cellStyle name="Énfasis3 13 2" xfId="4900" xr:uid="{E06CBEC9-F2E3-429C-83E4-4D77E23CE02D}"/>
    <cellStyle name="Énfasis3 14" xfId="4901" xr:uid="{DFF5800D-7B7B-4175-87AB-C5F522890400}"/>
    <cellStyle name="Énfasis3 14 2" xfId="4902" xr:uid="{97BDCE33-90FE-4A0F-ADA3-68F66462FF02}"/>
    <cellStyle name="Énfasis3 15" xfId="4903" xr:uid="{3D528640-1921-4DF4-83A1-F98027274ACA}"/>
    <cellStyle name="Énfasis3 15 2" xfId="4904" xr:uid="{E31EF088-C0F4-4116-B1DC-CAA9A6C368A1}"/>
    <cellStyle name="Énfasis3 16" xfId="4905" xr:uid="{F09FB208-8E33-48AA-917C-8AF607196228}"/>
    <cellStyle name="Énfasis3 2" xfId="1345" xr:uid="{79405180-2A5A-479D-A292-ABF645E8B34C}"/>
    <cellStyle name="Énfasis3 2 2" xfId="1346" xr:uid="{8222A9FB-24AD-40B3-9162-B569E244CEB6}"/>
    <cellStyle name="Énfasis3 2 2 2" xfId="4906" xr:uid="{428AE127-024C-4F93-9FC4-919748677192}"/>
    <cellStyle name="Énfasis3 2 2 3" xfId="4907" xr:uid="{9B03BFD2-EB9E-444A-9AE2-BA696C6C4476}"/>
    <cellStyle name="Énfasis3 2 2 4" xfId="4908" xr:uid="{D68021C4-72D0-4813-829C-F84E313496C1}"/>
    <cellStyle name="Énfasis3 2 2 4 2" xfId="4909" xr:uid="{79DDE547-9B69-469F-B0F7-BCC25E8C0743}"/>
    <cellStyle name="Énfasis3 2 3" xfId="4910" xr:uid="{37C4AE84-B273-474E-825A-0D745640EFDC}"/>
    <cellStyle name="Énfasis3 2 4" xfId="4911" xr:uid="{DB6DBBA5-0C64-4BC5-A883-87C859BB7339}"/>
    <cellStyle name="Énfasis3 2 4 2" xfId="4912" xr:uid="{E1D5FC60-0B25-4483-923B-843409884F0C}"/>
    <cellStyle name="Énfasis3 2 5" xfId="4913" xr:uid="{077D2131-C248-481B-AAAF-A9C997BEBF78}"/>
    <cellStyle name="Énfasis3 2_Deuda septiembre_marcos" xfId="1347" xr:uid="{B9658CB5-4B07-49EC-B48C-400E0CE4249A}"/>
    <cellStyle name="Énfasis3 3" xfId="3395" xr:uid="{82A72F59-4198-4ABA-BAE1-CDDB65E9D729}"/>
    <cellStyle name="Énfasis3 3 2" xfId="4914" xr:uid="{1E0E26B5-6E5B-4370-821D-5C62592C0A13}"/>
    <cellStyle name="Énfasis3 3 3" xfId="4915" xr:uid="{4060C6B1-1CBD-4066-825C-7260D90FE292}"/>
    <cellStyle name="Énfasis3 4" xfId="4916" xr:uid="{F3918BDF-A7FF-4AF9-9330-AEE6D5A0CA1B}"/>
    <cellStyle name="Énfasis3 4 2" xfId="4917" xr:uid="{91E0F732-4672-42C5-BD77-4FEE1FB7A436}"/>
    <cellStyle name="Énfasis3 4 3" xfId="4918" xr:uid="{37533194-DB6D-417A-94EA-42CECE04D673}"/>
    <cellStyle name="Énfasis3 5" xfId="4919" xr:uid="{F6991C84-6A05-4414-B583-1318681EC67E}"/>
    <cellStyle name="Énfasis3 6" xfId="4920" xr:uid="{C440FA6E-DD1D-438F-BA1A-A3468F2369F3}"/>
    <cellStyle name="Énfasis3 7" xfId="4921" xr:uid="{7D06227F-99A8-4342-B21A-8C4983E53DC4}"/>
    <cellStyle name="Énfasis3 8" xfId="4922" xr:uid="{68826C8B-AB5C-44BE-995B-30C41295FAFC}"/>
    <cellStyle name="Énfasis3 9" xfId="4923" xr:uid="{5D0D4AF0-AB73-4836-B6C1-F1BD5BF1AC48}"/>
    <cellStyle name="Énfasis4 10" xfId="4924" xr:uid="{7941E582-6385-484C-9385-9B48FE4A90A9}"/>
    <cellStyle name="Énfasis4 10 2" xfId="4925" xr:uid="{E312D049-E806-464C-ADE8-4EF3D3095A8A}"/>
    <cellStyle name="Énfasis4 11" xfId="4926" xr:uid="{C3A4D67A-EB34-4B8C-95B4-B48716922951}"/>
    <cellStyle name="Énfasis4 11 2" xfId="4927" xr:uid="{5AF6F8CB-B001-45CB-99E7-41F3E36DA866}"/>
    <cellStyle name="Énfasis4 12" xfId="4928" xr:uid="{49939A6D-DDA1-45D8-A5CD-7355DC08009D}"/>
    <cellStyle name="Énfasis4 12 2" xfId="4929" xr:uid="{17DAC419-B8F6-42DD-85FE-687EB183518E}"/>
    <cellStyle name="Énfasis4 13" xfId="4930" xr:uid="{D525A13D-E7A0-485E-8820-A48760BA8B97}"/>
    <cellStyle name="Énfasis4 13 2" xfId="4931" xr:uid="{9437A6C6-D307-4231-8F28-8FF92814C832}"/>
    <cellStyle name="Énfasis4 14" xfId="4932" xr:uid="{74EB9760-F1FE-43B5-A70D-1A6A1E35FFFE}"/>
    <cellStyle name="Énfasis4 14 2" xfId="4933" xr:uid="{ED5F4C57-2048-45D3-9FC9-4EBA3E867884}"/>
    <cellStyle name="Énfasis4 15" xfId="4934" xr:uid="{0346DC26-DFB7-4086-8ABA-53DA5F3D5C34}"/>
    <cellStyle name="Énfasis4 2" xfId="3396" xr:uid="{C8CD933D-B1DD-499C-8498-3C9827DF0A03}"/>
    <cellStyle name="Énfasis4 2 2" xfId="4935" xr:uid="{86C2558A-65DC-4A58-AFD6-D145DA76C686}"/>
    <cellStyle name="Énfasis4 2 3" xfId="4936" xr:uid="{356D1F7D-21E0-4DA4-B5DB-D01E07D9CDFD}"/>
    <cellStyle name="Énfasis4 2 4" xfId="4937" xr:uid="{4C9A2F5D-9B80-4B95-B31F-CE92C0542A4C}"/>
    <cellStyle name="Énfasis4 3" xfId="3397" xr:uid="{05B6DF51-F3D7-4368-B028-CE5B54EAC48F}"/>
    <cellStyle name="Énfasis4 3 2" xfId="4938" xr:uid="{1BE4172E-43E1-4654-B034-40A4A7FE877F}"/>
    <cellStyle name="Énfasis4 3 3" xfId="4939" xr:uid="{81F93578-2C51-442F-AFAB-47EB5DDC93C9}"/>
    <cellStyle name="Énfasis4 4" xfId="4940" xr:uid="{64FF77FC-AA77-4E96-868B-2CFA4D45E37F}"/>
    <cellStyle name="Énfasis4 4 2" xfId="4941" xr:uid="{BC158B0A-059B-4A32-A6CD-236EDB0B7542}"/>
    <cellStyle name="Énfasis4 4 3" xfId="4942" xr:uid="{8B2F147B-89C8-4899-862A-54946A88179E}"/>
    <cellStyle name="Énfasis4 5" xfId="4943" xr:uid="{38FD46AB-2CFE-4574-AA7E-7F960FB9CAE5}"/>
    <cellStyle name="Énfasis4 6" xfId="4944" xr:uid="{4958DB77-109E-4E4B-91A3-EFEF08367E85}"/>
    <cellStyle name="Énfasis4 7" xfId="4945" xr:uid="{477D8999-920B-4F4E-811A-E595FA56B3E7}"/>
    <cellStyle name="Énfasis4 8" xfId="4946" xr:uid="{0CA9B177-9DB7-4509-8ABE-2BFD164B9870}"/>
    <cellStyle name="Énfasis4 9" xfId="4947" xr:uid="{AD31CDC8-4587-4CB9-A72C-E9CC626EE4FB}"/>
    <cellStyle name="Énfasis5 10" xfId="4948" xr:uid="{F3CCECFA-6FA3-4832-B40A-AE9FF4E62038}"/>
    <cellStyle name="Énfasis5 11" xfId="4949" xr:uid="{7C46EAEB-2B06-41C0-B84E-C17CF0741206}"/>
    <cellStyle name="Énfasis5 12" xfId="4950" xr:uid="{D4297E81-17C3-4F43-9687-7B1E5CF3B0F4}"/>
    <cellStyle name="Énfasis5 12 2" xfId="4951" xr:uid="{DBC80F96-68E4-4DA5-AC06-915E1D5C342F}"/>
    <cellStyle name="Énfasis5 13" xfId="4952" xr:uid="{38343BC1-C971-4E80-95A6-0E12ABDDEF35}"/>
    <cellStyle name="Énfasis5 13 2" xfId="4953" xr:uid="{86B20E13-C18F-4124-BB74-3F600C8BD7DF}"/>
    <cellStyle name="Énfasis5 14" xfId="4954" xr:uid="{CEB89CAE-4576-4BC6-B446-C91E5FC085A5}"/>
    <cellStyle name="Énfasis5 14 2" xfId="4955" xr:uid="{5EB8BE8D-8F70-4B9D-BF2D-14D63620690D}"/>
    <cellStyle name="Énfasis5 15" xfId="4956" xr:uid="{0AAAE242-2A3E-4EE7-8C90-A85198537CE4}"/>
    <cellStyle name="Énfasis5 15 2" xfId="4957" xr:uid="{C8E1A9DF-5021-45FA-AF06-5046918A3A94}"/>
    <cellStyle name="Énfasis5 16" xfId="4958" xr:uid="{5CF83FA7-7117-4746-8A85-261BFAACCDD0}"/>
    <cellStyle name="Énfasis5 16 2" xfId="4959" xr:uid="{B0727C4E-3295-481B-9FF7-32044BC6112F}"/>
    <cellStyle name="Énfasis5 17" xfId="4960" xr:uid="{E80FBC55-5E0D-4370-9410-47CE18468BAB}"/>
    <cellStyle name="Énfasis5 2" xfId="1348" xr:uid="{6F574BF6-5CCD-4A46-9C08-5B79C9FAD1B6}"/>
    <cellStyle name="Énfasis5 2 2" xfId="1349" xr:uid="{1A78EA0B-388D-4D6B-BB83-A3DFF40DCCAE}"/>
    <cellStyle name="Énfasis5 2 2 2" xfId="4961" xr:uid="{92061C7B-2D2E-43E8-B0E0-CDE826F432AE}"/>
    <cellStyle name="Énfasis5 2 2 3" xfId="4962" xr:uid="{138F2C61-5861-4FBC-A434-0CF71842ECF4}"/>
    <cellStyle name="Énfasis5 2 2 4" xfId="4963" xr:uid="{56708D83-5714-48E1-90E2-B799718D755F}"/>
    <cellStyle name="Énfasis5 2 2 4 2" xfId="4964" xr:uid="{C8DE7F3A-55C5-4802-8A59-DDC3AA0B5FBC}"/>
    <cellStyle name="Énfasis5 2 3" xfId="4965" xr:uid="{835D3D08-AA13-4308-BF7B-2C83FDF2F10E}"/>
    <cellStyle name="Énfasis5 2 4" xfId="4966" xr:uid="{B529216C-B336-4F05-A5E7-976ED94868D5}"/>
    <cellStyle name="Énfasis5 2 4 2" xfId="4967" xr:uid="{B30D0F3A-6DD4-4BEA-9D6D-315416A38F59}"/>
    <cellStyle name="Énfasis5 2 5" xfId="4968" xr:uid="{B618F110-6E7C-41BA-A007-EC859A9CC4E5}"/>
    <cellStyle name="Énfasis5 2_Deuda septiembre_marcos" xfId="1350" xr:uid="{B99BAD01-A814-45EA-B1F2-53669BC8F8E6}"/>
    <cellStyle name="Énfasis5 3" xfId="1351" xr:uid="{04429D02-2B53-4F9E-A14D-783F38F85691}"/>
    <cellStyle name="Énfasis5 4" xfId="4969" xr:uid="{A7E2B830-0701-4627-9B2B-85FA0D595115}"/>
    <cellStyle name="Énfasis5 4 2" xfId="4970" xr:uid="{3ACDB270-28EE-46E3-871B-2FA59DA03A15}"/>
    <cellStyle name="Énfasis5 4 3" xfId="4971" xr:uid="{C9EC8E42-EF4D-4A52-A22E-F75F9E9785ED}"/>
    <cellStyle name="Énfasis5 5" xfId="4972" xr:uid="{50F83302-9F59-496A-AD6E-7B3A34968FC4}"/>
    <cellStyle name="Énfasis5 5 2" xfId="4973" xr:uid="{451EC378-4CB0-44C3-9370-3125C396740E}"/>
    <cellStyle name="Énfasis5 5 3" xfId="4974" xr:uid="{D54663F3-29F9-4E2E-9101-468BBD37F505}"/>
    <cellStyle name="Énfasis5 6" xfId="4975" xr:uid="{1F81CD96-8A3D-4236-A7A8-91994FC4DF1B}"/>
    <cellStyle name="Énfasis5 7" xfId="4976" xr:uid="{9EEE7CFC-09B8-4967-927B-13030AEA552F}"/>
    <cellStyle name="Énfasis5 8" xfId="4977" xr:uid="{6CBED7BC-721A-41F6-AE9B-6077A5D14B9C}"/>
    <cellStyle name="Énfasis5 9" xfId="4978" xr:uid="{BB22ADEB-3A10-434A-B00F-78F4A32D5588}"/>
    <cellStyle name="Énfasis6 10" xfId="4979" xr:uid="{5FBD0CC6-6F3F-4519-89DE-D80E23C9C260}"/>
    <cellStyle name="Énfasis6 10 2" xfId="4980" xr:uid="{4CC086AB-E2DD-4DA2-818A-F6671C61C932}"/>
    <cellStyle name="Énfasis6 11" xfId="4981" xr:uid="{E5716509-05B7-4EF4-81B5-7BA2C578FAF6}"/>
    <cellStyle name="Énfasis6 11 2" xfId="4982" xr:uid="{EBF65289-509A-4BAA-BBE7-9CD7740382B1}"/>
    <cellStyle name="Énfasis6 12" xfId="4983" xr:uid="{089986E1-8E34-40DD-A27F-22AEA821FD9B}"/>
    <cellStyle name="Énfasis6 12 2" xfId="4984" xr:uid="{213DD374-3B20-4059-94B4-CDA88DED719A}"/>
    <cellStyle name="Énfasis6 13" xfId="4985" xr:uid="{876120F1-F993-44DE-AE14-14662278EEFB}"/>
    <cellStyle name="Énfasis6 13 2" xfId="4986" xr:uid="{C8D37C97-6359-468E-9406-3F1252C0CD8B}"/>
    <cellStyle name="Énfasis6 14" xfId="4987" xr:uid="{3DF15BA6-B522-4A40-BF81-D7C54650B0A0}"/>
    <cellStyle name="Énfasis6 14 2" xfId="4988" xr:uid="{8256C559-2777-4DCE-8F41-4112441CC9C2}"/>
    <cellStyle name="Énfasis6 15" xfId="4989" xr:uid="{6E0006AF-D0F5-4A57-ACD2-A6EC7BDEEE66}"/>
    <cellStyle name="Énfasis6 2" xfId="3398" xr:uid="{382C3884-EEEC-4491-865A-6550D440DD17}"/>
    <cellStyle name="Énfasis6 2 2" xfId="4990" xr:uid="{9FFFE939-16AF-47D7-A829-88020C739B2E}"/>
    <cellStyle name="Énfasis6 2 3" xfId="4991" xr:uid="{4A0C2D58-F18B-4963-A01C-48874AAF4FA1}"/>
    <cellStyle name="Énfasis6 2 4" xfId="4992" xr:uid="{8271D069-FE57-470D-ABD6-1FA82523ED92}"/>
    <cellStyle name="Énfasis6 3" xfId="3399" xr:uid="{E8FD1C51-4026-42F4-B6A6-E5A7EC4BCA5B}"/>
    <cellStyle name="Énfasis6 3 2" xfId="4993" xr:uid="{4E22D9A8-48B3-455A-AE75-8EE23AC37361}"/>
    <cellStyle name="Énfasis6 3 3" xfId="4994" xr:uid="{612C2E2D-6AD9-497A-8DFD-129744E24FF7}"/>
    <cellStyle name="Énfasis6 4" xfId="4995" xr:uid="{1FCB1D49-AA8D-4B32-B199-9442E86EDA55}"/>
    <cellStyle name="Énfasis6 4 2" xfId="4996" xr:uid="{A6076DA5-997B-4ADC-AC2D-0C5C596CA363}"/>
    <cellStyle name="Énfasis6 4 3" xfId="4997" xr:uid="{4B48C1B8-FA23-429F-8914-EFA7DCC3B4B9}"/>
    <cellStyle name="Énfasis6 5" xfId="4998" xr:uid="{6ADB865C-4247-4473-AB3F-805433C594CB}"/>
    <cellStyle name="Énfasis6 6" xfId="4999" xr:uid="{3BD6B14D-F2D4-4166-8DE1-5544FA0A8C9B}"/>
    <cellStyle name="Énfasis6 7" xfId="5000" xr:uid="{FC735DB3-6D32-4605-9451-AFDB96AA3195}"/>
    <cellStyle name="Énfasis6 8" xfId="5001" xr:uid="{86033C77-D888-47B3-8DAA-87673E441AB3}"/>
    <cellStyle name="Énfasis6 9" xfId="5002" xr:uid="{FC46D630-F3C6-40E0-A45C-63C1F287D40B}"/>
    <cellStyle name="Entrada 10" xfId="5003" xr:uid="{55431A17-00D2-4824-9EB4-BF6BDD92E22C}"/>
    <cellStyle name="Entrada 10 2" xfId="5004" xr:uid="{E507013E-9447-4326-93C5-0BB5B94D4684}"/>
    <cellStyle name="Entrada 11" xfId="5005" xr:uid="{4466DD6B-723E-43E0-92EA-C33337A07BE9}"/>
    <cellStyle name="Entrada 11 2" xfId="5006" xr:uid="{A5B00369-498E-456D-9D3C-051993E06E17}"/>
    <cellStyle name="Entrada 12" xfId="5007" xr:uid="{4A5F7717-1A4D-4F15-A017-5D7F52E4BF43}"/>
    <cellStyle name="Entrada 12 2" xfId="5008" xr:uid="{C9CE7038-1EDE-490A-8DD8-9E72A6A97121}"/>
    <cellStyle name="Entrada 13" xfId="5009" xr:uid="{C73E19C2-2F57-4551-B575-AFD197967FFD}"/>
    <cellStyle name="Entrada 13 2" xfId="5010" xr:uid="{E122DE0B-84B6-4048-B8B2-A0E0A3F98E39}"/>
    <cellStyle name="Entrada 14" xfId="5011" xr:uid="{AD9ADE55-15BA-467E-872C-0F2A4E7D8DB1}"/>
    <cellStyle name="Entrada 14 2" xfId="5012" xr:uid="{B797A7FA-AB9D-40B0-8899-431C816E347A}"/>
    <cellStyle name="Entrada 15" xfId="5013" xr:uid="{B9D7E7D0-8D00-4D9B-B7B8-4B2318C85A67}"/>
    <cellStyle name="Entrada 2" xfId="3400" xr:uid="{10CA3D51-5EFA-409D-8B2F-CB61CABFE2BA}"/>
    <cellStyle name="Entrada 2 2" xfId="5014" xr:uid="{B3387FA0-51C1-4E88-BA99-7691EB74B477}"/>
    <cellStyle name="Entrada 2 3" xfId="5015" xr:uid="{7E93404C-DE9A-41A8-99BD-FF76DFF5643C}"/>
    <cellStyle name="Entrada 2 4" xfId="5016" xr:uid="{587AFA31-6D67-4B71-BFF0-2E8C4924D97D}"/>
    <cellStyle name="Entrada 3" xfId="3401" xr:uid="{6CDF2291-9B1A-40CD-A3D3-67301F664F02}"/>
    <cellStyle name="Entrada 3 2" xfId="5017" xr:uid="{E347D389-3E7E-4AA0-9374-DB6BAC3FB59F}"/>
    <cellStyle name="Entrada 3 3" xfId="5018" xr:uid="{97EE0F30-DED7-4804-91E0-056F5CC311E5}"/>
    <cellStyle name="Entrada 4" xfId="5019" xr:uid="{DEEAADCD-6F37-428A-9BC2-154F0047BC67}"/>
    <cellStyle name="Entrada 4 2" xfId="5020" xr:uid="{BFC66556-803C-4730-9718-11C8926516E0}"/>
    <cellStyle name="Entrada 4 3" xfId="5021" xr:uid="{6C6B5DD0-A801-451F-A9BE-C72D6DF20D1B}"/>
    <cellStyle name="Entrada 5" xfId="5022" xr:uid="{210A5FCD-88AA-47CB-9A88-DC0484149CDB}"/>
    <cellStyle name="Entrada 6" xfId="5023" xr:uid="{09FDE7C8-7E61-474A-9E35-55893C7D5E69}"/>
    <cellStyle name="Entrada 7" xfId="5024" xr:uid="{08835106-AD46-4E05-9E34-A2A92A329976}"/>
    <cellStyle name="Entrada 8" xfId="5025" xr:uid="{BBCA13B4-17F3-478E-9B7C-EB2DDD01450B}"/>
    <cellStyle name="Entrada 9" xfId="5026" xr:uid="{2304FAD8-7130-4029-BC9E-177DA8F809AB}"/>
    <cellStyle name="EPMLargeKeyFigure" xfId="25" xr:uid="{3B6A88FF-11A9-4C0C-BA48-6388FE19B09A}"/>
    <cellStyle name="EPMUnrecognizedMember" xfId="24" xr:uid="{7F69E0AD-8A9D-488C-B5D8-94DC1C7177A4}"/>
    <cellStyle name="Estilo 1" xfId="1352" xr:uid="{0C8CBD0B-009E-4789-AB04-6142C8DA9077}"/>
    <cellStyle name="Estilo 1 2" xfId="1353" xr:uid="{0F170E1C-2A15-4C41-8BA9-E717EE256A09}"/>
    <cellStyle name="Estilo 1 2 2" xfId="1354" xr:uid="{D5C56785-9013-4BD9-9105-3216E43F18A1}"/>
    <cellStyle name="Estilo 1 2 2 2" xfId="5027" xr:uid="{44BABE69-1B1C-4594-9C51-F564CF7E2C37}"/>
    <cellStyle name="Estilo 1 2 3" xfId="1355" xr:uid="{D59F7FA6-24DB-4FC4-B3DA-BCDD01DC1DD3}"/>
    <cellStyle name="Estilo 1 2 3 2" xfId="5028" xr:uid="{D1144CFB-8C69-474B-80DE-160F8FBA6357}"/>
    <cellStyle name="Estilo 1 2 4" xfId="1356" xr:uid="{FC5F07EC-40DE-4996-9414-466F3B0C5853}"/>
    <cellStyle name="Estilo 1 2 4 2" xfId="5029" xr:uid="{D74AC685-B86C-4781-A029-973BE67810FD}"/>
    <cellStyle name="Estilo 1 2 5" xfId="1357" xr:uid="{70CBED86-1A57-45DB-9E89-0BF35B06C5F7}"/>
    <cellStyle name="Estilo 1 2 5 2" xfId="5030" xr:uid="{BE946253-2E86-46CA-A57B-F920606C873D}"/>
    <cellStyle name="Estilo 1 2 6" xfId="1358" xr:uid="{36B5F487-C3B8-4D38-8966-AAA85452BDE4}"/>
    <cellStyle name="Estilo 1 2 6 2" xfId="5031" xr:uid="{8D2ADC83-3F75-43C3-A514-FC29C8099DCD}"/>
    <cellStyle name="Estilo 1 2 7" xfId="1359" xr:uid="{7135F522-E0AD-4230-8F7C-D4EB325FA2B5}"/>
    <cellStyle name="Estilo 1 2 7 2" xfId="5032" xr:uid="{69D085CC-179B-46BF-AC9D-B3B8C3AD1B1E}"/>
    <cellStyle name="Estilo 1 2 8" xfId="1360" xr:uid="{9148C89F-F2C7-4026-BABA-7A5E096B38A6}"/>
    <cellStyle name="Estilo 1 2_ActiFijos" xfId="1361" xr:uid="{273BFF1B-65C6-4484-81FB-072F6BCBEBBF}"/>
    <cellStyle name="Estilo 1 3" xfId="1362" xr:uid="{68C3B310-C590-43C7-B729-14850B418D19}"/>
    <cellStyle name="Estilo 1 3 2" xfId="1363" xr:uid="{61FE9483-11DD-42CB-8A20-B99263113FAF}"/>
    <cellStyle name="Estilo 1 3 2 2" xfId="5033" xr:uid="{0F3306D2-A99E-4190-9DDA-C09ED668DA66}"/>
    <cellStyle name="Estilo 1 3 3" xfId="1364" xr:uid="{B39582CF-70C5-4DCE-BEB4-4D0C02DE6078}"/>
    <cellStyle name="Estilo 1 3 3 2" xfId="5034" xr:uid="{B9EF197F-B07C-4E45-84EE-8E6313DFE4E7}"/>
    <cellStyle name="Estilo 1 3 4" xfId="1365" xr:uid="{61A0E581-28BC-4C84-A4A9-E2BBCFEE8321}"/>
    <cellStyle name="Estilo 1 3 4 2" xfId="5035" xr:uid="{ACA4428D-1498-4F52-99F3-CA5812E68949}"/>
    <cellStyle name="Estilo 1 3 5" xfId="1366" xr:uid="{6543BAA9-5EDE-4755-8F47-2376BDB9BDAC}"/>
    <cellStyle name="Estilo 1 3 5 2" xfId="5036" xr:uid="{473DB2F8-3EAE-4297-9C26-B41B1D937410}"/>
    <cellStyle name="Estilo 1 3 6" xfId="1367" xr:uid="{8F259B7F-0BF3-44BA-8E20-BD06B52FD9EF}"/>
    <cellStyle name="Estilo 1 3 6 2" xfId="5037" xr:uid="{B91086E6-131D-4CB2-887D-58B7D28B7A96}"/>
    <cellStyle name="Estilo 1 3 7" xfId="1368" xr:uid="{6C02AAA6-69E2-48B1-A362-FCE6DCF6DE0F}"/>
    <cellStyle name="Estilo 1 3 8" xfId="1369" xr:uid="{8556A690-93EA-49A1-AA31-C7B10C264BE5}"/>
    <cellStyle name="Estilo 1 3_ActiFijos" xfId="1370" xr:uid="{8BD30B48-B2D4-4DAC-9EE9-1D714342C516}"/>
    <cellStyle name="Estilo 1 4" xfId="1371" xr:uid="{3B4F0CE3-781E-46B2-9077-5713346E5B6D}"/>
    <cellStyle name="Estilo 1 4 2" xfId="1372" xr:uid="{6553E5B1-DB60-438C-9D2F-DFDED4A07D12}"/>
    <cellStyle name="Estilo 1 4 2 2" xfId="5038" xr:uid="{697B14AF-2689-41F3-BC6C-BC7A0279A6EA}"/>
    <cellStyle name="Estilo 1 4 3" xfId="1373" xr:uid="{A4CE96FE-CAB0-4224-A873-53CBAC8226D7}"/>
    <cellStyle name="Estilo 1 4 3 2" xfId="5039" xr:uid="{565D5D5F-4747-4A53-8801-6BB9B7CE4913}"/>
    <cellStyle name="Estilo 1 4 4" xfId="1374" xr:uid="{53A26CB2-5086-42A8-96CE-567925F6D816}"/>
    <cellStyle name="Estilo 1 4 4 2" xfId="5040" xr:uid="{28EDBDB9-D03F-4170-A07A-2F565B24E988}"/>
    <cellStyle name="Estilo 1 4 5" xfId="1375" xr:uid="{2112B126-3689-40F1-A107-9F963E49BA2C}"/>
    <cellStyle name="Estilo 1 4 5 2" xfId="5041" xr:uid="{B5148EDC-50B8-47EA-BFA7-246AA7CF115D}"/>
    <cellStyle name="Estilo 1 4 6" xfId="1376" xr:uid="{57F710D0-AD2A-40EA-AE7F-D7F35081ABD6}"/>
    <cellStyle name="Estilo 1 4 6 2" xfId="5042" xr:uid="{05E81083-7234-41CC-9EDC-82F78375E843}"/>
    <cellStyle name="Estilo 1 4 7" xfId="1377" xr:uid="{EB48652F-9054-4DFB-9ABA-9E703A53C1BF}"/>
    <cellStyle name="Estilo 1 4 8" xfId="1378" xr:uid="{9EEEFD29-B83B-4FD5-AD0A-20356038AE8A}"/>
    <cellStyle name="Estilo 1 4_ActiFijos" xfId="1379" xr:uid="{EC37C1FC-1B01-4F51-ACDC-B0085CEA7A1E}"/>
    <cellStyle name="Estilo 1 5" xfId="1380" xr:uid="{9AFC46C0-0923-479B-907B-28EDD148F393}"/>
    <cellStyle name="Estilo 1 5 2" xfId="1381" xr:uid="{18DBBD03-6D44-4322-833B-CD28F6A77BFA}"/>
    <cellStyle name="Estilo 1 5 2 2" xfId="3784" xr:uid="{84413AFE-08F1-49F3-8697-4711D1142CF7}"/>
    <cellStyle name="Estilo 1 5 3" xfId="1382" xr:uid="{F6D6CB0A-1042-4CCD-84FD-34AACC8145C7}"/>
    <cellStyle name="Estilo 1 5 3 2" xfId="3785" xr:uid="{ACE380CD-2C1E-4392-9147-06FBA1072369}"/>
    <cellStyle name="Estilo 1 5 4" xfId="1383" xr:uid="{639232A3-8FB4-47FE-A6E6-D7FB21BAA3A7}"/>
    <cellStyle name="Estilo 1 5 4 2" xfId="3786" xr:uid="{1A425CF1-52A2-40A2-9C46-31A0C49A69FE}"/>
    <cellStyle name="Estilo 1 5 5" xfId="1384" xr:uid="{F5673391-5820-43F0-984A-01A5E97B4F52}"/>
    <cellStyle name="Estilo 1 5 5 2" xfId="3787" xr:uid="{1FB8F108-5A4B-470A-B50C-E60586199E74}"/>
    <cellStyle name="Estilo 1 5 6" xfId="3783" xr:uid="{1413E21C-32D9-4603-BD80-A818181B6863}"/>
    <cellStyle name="Estilo 1 6" xfId="5043" xr:uid="{1545D134-4BD7-4ABA-8262-A9529F764BCD}"/>
    <cellStyle name="Estilo 1_Bases_Generales" xfId="1385" xr:uid="{E0BF7821-7A9D-4DE6-9164-E5D31A23F07B}"/>
    <cellStyle name="Estilo 10" xfId="3402" xr:uid="{8C7CE8FD-950A-40FC-A1EF-DB78FA9186C1}"/>
    <cellStyle name="Estilo 11" xfId="3403" xr:uid="{1992DCA7-FE44-4F26-B921-E3D1CBDCBED9}"/>
    <cellStyle name="Estilo 12" xfId="3404" xr:uid="{8513F2B5-4F95-44C5-837A-D003308A5859}"/>
    <cellStyle name="Estilo 13" xfId="3405" xr:uid="{5ABC63D8-42C5-4413-8F54-4C23F92AEA81}"/>
    <cellStyle name="Estilo 2" xfId="1386" xr:uid="{73013912-0F5D-4637-A971-EE4E5030CD46}"/>
    <cellStyle name="Estilo 3" xfId="1387" xr:uid="{1EFA67E7-5B5B-4D92-86B9-549F181E9E2D}"/>
    <cellStyle name="Estilo 3 2" xfId="5044" xr:uid="{2841CE3E-DC2E-4239-88AA-E750DF629431}"/>
    <cellStyle name="Estilo 4" xfId="1388" xr:uid="{10C3DC4C-D27E-47E2-ABA3-F36FF803DF1C}"/>
    <cellStyle name="Estilo 4 2" xfId="5045" xr:uid="{DA42D553-2900-4235-8C74-E1C8AE168C10}"/>
    <cellStyle name="Estilo 5" xfId="1389" xr:uid="{5804E621-46D1-4154-A9E1-F93CE7365397}"/>
    <cellStyle name="Estilo 5 2" xfId="5046" xr:uid="{E8B236DE-2550-4C8C-9C1A-B56A5E667C6A}"/>
    <cellStyle name="Estilo 6" xfId="1390" xr:uid="{9F4D2F3B-EECD-4D9C-8A1F-E5A2A5C5BA27}"/>
    <cellStyle name="Estilo 7" xfId="1391" xr:uid="{9A009E32-F07C-4D1F-8B64-8778907CDD68}"/>
    <cellStyle name="Estilo 8" xfId="1392" xr:uid="{4E11FA2E-0C75-4C30-80BA-188081F45EB7}"/>
    <cellStyle name="Estilo 9" xfId="1393" xr:uid="{E5668CB6-C1AD-4EE7-9449-391996A76EAC}"/>
    <cellStyle name="Euro" xfId="1394" xr:uid="{9B958DB3-5E19-4A64-A800-0F939BA240C9}"/>
    <cellStyle name="Euro 2" xfId="1395" xr:uid="{39E21825-5C01-418E-A5E9-6A79CAD47048}"/>
    <cellStyle name="Euro 2 2" xfId="1396" xr:uid="{5274E0DA-9846-4BDA-993B-5424823ADAE8}"/>
    <cellStyle name="Euro 2 3" xfId="1397" xr:uid="{C5BC6644-89FE-493C-8470-D3303D7D6351}"/>
    <cellStyle name="Euro 2 4" xfId="1398" xr:uid="{FC44BDA0-5846-48C6-B9BE-62FE88BC8752}"/>
    <cellStyle name="Euro 2 5" xfId="1399" xr:uid="{29431B86-0779-41C4-B04A-23E03B154088}"/>
    <cellStyle name="Euro 2 6" xfId="1400" xr:uid="{D82A3078-3FF9-4B28-A020-8F3B8263D849}"/>
    <cellStyle name="Euro 2 7" xfId="1401" xr:uid="{074B6DFB-BEE0-432A-957C-51AE55EC336F}"/>
    <cellStyle name="Euro 2 8" xfId="1402" xr:uid="{FFE594BA-250A-4D63-ACE8-89611450A6F0}"/>
    <cellStyle name="Euro 2 9" xfId="5047" xr:uid="{AE2941A9-C15E-4971-9BE5-8479746B3A51}"/>
    <cellStyle name="Euro 3" xfId="1403" xr:uid="{3BDE9A0C-B6F4-4AFD-A5E6-5E7A51EC9723}"/>
    <cellStyle name="Euro 3 2" xfId="1404" xr:uid="{A36D1DFD-D80D-4858-A298-41B01B98FEDC}"/>
    <cellStyle name="Euro 3 3" xfId="1405" xr:uid="{928942A4-A1A7-4BD1-9BF5-133AA33B0D18}"/>
    <cellStyle name="Euro 3 4" xfId="1406" xr:uid="{AE4FAF1F-27F7-482E-B9C8-B7E85AAE123F}"/>
    <cellStyle name="Euro 3 5" xfId="1407" xr:uid="{86D7BCAD-2F6C-48E2-BD35-B2068FC72B8F}"/>
    <cellStyle name="Euro 3 6" xfId="1408" xr:uid="{BEDC97FA-7326-498E-9449-ED5DA82A696F}"/>
    <cellStyle name="Euro 3 7" xfId="1409" xr:uid="{B5AF8EA8-4CAE-4AD8-B5A8-8065748D107D}"/>
    <cellStyle name="Euro 3 8" xfId="1410" xr:uid="{2EDBDF51-664F-4A35-931A-E8CD268C66F3}"/>
    <cellStyle name="Euro 4" xfId="1411" xr:uid="{048D64B5-7A21-43A4-B2F3-F5D3EEB9F408}"/>
    <cellStyle name="Euro 4 2" xfId="1412" xr:uid="{9C4BDB3C-5166-49D7-8E49-85536CEC9627}"/>
    <cellStyle name="Euro 4 3" xfId="1413" xr:uid="{0B987D0F-485D-41C7-95A8-1CA6A2673979}"/>
    <cellStyle name="Euro 4 4" xfId="1414" xr:uid="{F4DC47B4-3309-4D6A-9393-9D3881A9DE61}"/>
    <cellStyle name="Euro 4 5" xfId="1415" xr:uid="{028F12F9-5398-4C25-ACC1-2B1422005FE1}"/>
    <cellStyle name="Euro 4 6" xfId="1416" xr:uid="{944CADFF-CA0D-4DA3-9C6B-C7AD0BD6A94F}"/>
    <cellStyle name="Euro 4 7" xfId="1417" xr:uid="{7BAC6B12-9FB1-473F-B2C2-815D6A66A02E}"/>
    <cellStyle name="Euro 4 8" xfId="1418" xr:uid="{38F63FEE-6CA5-41AB-88B9-D2F283BEF12C}"/>
    <cellStyle name="Euro 5" xfId="5048" xr:uid="{94D2B30F-8C6B-4E01-A521-557F419BC9DF}"/>
    <cellStyle name="Euro 5 2" xfId="5049" xr:uid="{8F513896-E2EB-41C2-8523-DA0E257754F0}"/>
    <cellStyle name="Euro 6" xfId="5050" xr:uid="{AEB3A3AD-17BF-41A1-B1FC-D1D5A0520D31}"/>
    <cellStyle name="Euro_Deuda septiembre_marcos" xfId="1419" xr:uid="{085BAE89-756C-4AAD-ADB1-546E388C2093}"/>
    <cellStyle name="EY House" xfId="1420" xr:uid="{CB023893-BB38-40CB-812F-188239143169}"/>
    <cellStyle name="EY House 10" xfId="1421" xr:uid="{A217F58B-3F74-4D57-8FC8-74E90DBB6A31}"/>
    <cellStyle name="EY House 11" xfId="1422" xr:uid="{16AADB26-79E1-4957-B591-A3BB847C4252}"/>
    <cellStyle name="EY House 12" xfId="1423" xr:uid="{88687DC2-09C1-4980-8C6D-BE829CB5469D}"/>
    <cellStyle name="EY House 13" xfId="1424" xr:uid="{7A40ED1E-A3F3-4C5F-AB0A-05B96332657E}"/>
    <cellStyle name="EY House 2" xfId="1425" xr:uid="{EA836C57-18DD-4896-B4C8-10DDA17BA449}"/>
    <cellStyle name="EY House 3" xfId="1426" xr:uid="{5D9AA3E1-3C2D-4C31-8517-3511167ABE23}"/>
    <cellStyle name="EY House 4" xfId="1427" xr:uid="{D1D0B979-A436-4BD4-8435-4F0A6F7DD5D5}"/>
    <cellStyle name="EY House 5" xfId="1428" xr:uid="{4FA58944-4612-416E-BD4A-4BC275A53ABA}"/>
    <cellStyle name="EY House 6" xfId="1429" xr:uid="{0D437613-93E4-4FFC-9333-F4657E15BBAB}"/>
    <cellStyle name="EY House 7" xfId="1430" xr:uid="{BD24B656-42A1-446D-9352-7AAACB2988F4}"/>
    <cellStyle name="EY House 8" xfId="1431" xr:uid="{2185F7ED-58C5-4649-8A57-03DF502C7F01}"/>
    <cellStyle name="EY House 9" xfId="1432" xr:uid="{F5D321A5-16C7-4615-8538-2F2114E633A7}"/>
    <cellStyle name="EY House_ActiFijos" xfId="1433" xr:uid="{AFB016B2-F3EE-47EC-9048-FA03870D1C33}"/>
    <cellStyle name="EY%input" xfId="1434" xr:uid="{052FAEB5-63B2-4D60-88CB-F6B06BE2C016}"/>
    <cellStyle name="EY0dp" xfId="1435" xr:uid="{227E90E1-82CE-454B-96D9-B4B73B541C96}"/>
    <cellStyle name="EYnumber_Project GuGu - Databook 050331 v2" xfId="1436" xr:uid="{2C016CD1-08FD-454F-A970-0DF4428FB6D1}"/>
    <cellStyle name="EYtext_Project Sprinkle - Databook (PR) 4-1-05" xfId="1437" xr:uid="{BE04F324-EB4B-4321-9358-FA7B19C8575C}"/>
    <cellStyle name="F2" xfId="1438" xr:uid="{7E96C931-E8D6-4CCD-A778-2301924281B5}"/>
    <cellStyle name="F2 2" xfId="1439" xr:uid="{C7C180A9-4A4D-4777-8D7C-8072F5C2ED78}"/>
    <cellStyle name="F2 2 2" xfId="1440" xr:uid="{A35A8254-21C3-4B2F-9809-64BD9BF2D1E3}"/>
    <cellStyle name="F2 2 3" xfId="1441" xr:uid="{A0787DA9-BBE7-4976-BD25-61000D8153D1}"/>
    <cellStyle name="F2 2 4" xfId="1442" xr:uid="{694C088E-20A0-438B-A421-A2DE305E5EAF}"/>
    <cellStyle name="F2 2 5" xfId="1443" xr:uid="{0985F86F-93A0-4801-93A5-23A274827A89}"/>
    <cellStyle name="F2 2 6" xfId="1444" xr:uid="{CFE4B598-A88F-45FB-9678-2D8ADEADF672}"/>
    <cellStyle name="F2 2 7" xfId="1445" xr:uid="{901923F7-B4A3-4E1D-ACA9-50B26354CB31}"/>
    <cellStyle name="F2 2 8" xfId="1446" xr:uid="{7DDC6704-1952-4B58-B3A6-A32A53A9393E}"/>
    <cellStyle name="F2 2_ActiFijos" xfId="1447" xr:uid="{5A43E218-7438-44D2-9158-9020AC9C8E4F}"/>
    <cellStyle name="F2 3" xfId="1448" xr:uid="{C674243B-CB54-4508-A39D-90893C23557C}"/>
    <cellStyle name="F2 3 2" xfId="1449" xr:uid="{5F8238D1-3C8B-45C9-8F3A-F88E570037DE}"/>
    <cellStyle name="F2 3 3" xfId="1450" xr:uid="{53D2CABC-4446-4909-8A91-EA38E2B2D4B0}"/>
    <cellStyle name="F2 3 4" xfId="1451" xr:uid="{00B23807-EA2B-4C75-92A7-4D6447FB4B2A}"/>
    <cellStyle name="F2 3 5" xfId="1452" xr:uid="{2426C670-E8E3-4D72-99BC-3C7F0B6EF3B6}"/>
    <cellStyle name="F2 3 6" xfId="1453" xr:uid="{60963DC3-67BF-4482-BF4E-676A7F1FB00B}"/>
    <cellStyle name="F2 3 7" xfId="1454" xr:uid="{5553BE0B-B1C4-4C05-B6F5-A57BA931D6A8}"/>
    <cellStyle name="F2 3 8" xfId="1455" xr:uid="{1ACD640E-8480-4D63-A244-48C353377164}"/>
    <cellStyle name="F2 3_ActiFijos" xfId="1456" xr:uid="{A825DC37-B6F2-4412-8E35-08D858C75F83}"/>
    <cellStyle name="F2 4" xfId="1457" xr:uid="{BFA43F23-6414-4BD1-BC02-77899F9F14B3}"/>
    <cellStyle name="F2 4 2" xfId="1458" xr:uid="{72897541-A0E1-48C1-8CA7-4CE3A9EC7AEE}"/>
    <cellStyle name="F2 4 3" xfId="1459" xr:uid="{849BD737-76C5-44F3-8717-AC5C2AB4BE6A}"/>
    <cellStyle name="F2 4 4" xfId="1460" xr:uid="{8C0346CB-7E76-41C5-AF73-A895CF39CA12}"/>
    <cellStyle name="F2 4 5" xfId="1461" xr:uid="{0A9F8E6C-D64E-4301-B572-AE798A2FE527}"/>
    <cellStyle name="F2 4 6" xfId="1462" xr:uid="{10328DC6-AE1B-488D-8863-2F3EA6AB4634}"/>
    <cellStyle name="F2 4 7" xfId="1463" xr:uid="{634C989A-3086-4352-88D6-82ED8666904C}"/>
    <cellStyle name="F2 4 8" xfId="1464" xr:uid="{43B0EE73-1EF3-4210-8527-8540E43DA711}"/>
    <cellStyle name="F2 4_ActiFijos" xfId="1465" xr:uid="{077502F2-616A-45DB-A5C5-E646805D7EFD}"/>
    <cellStyle name="F2_Bases_Generales" xfId="1466" xr:uid="{A9BC4E13-944F-4174-AC5A-6F33ACD963A4}"/>
    <cellStyle name="F3" xfId="1467" xr:uid="{BEB8F74E-1BD9-4755-B6EE-3DBCF49DDB94}"/>
    <cellStyle name="F3 2" xfId="1468" xr:uid="{FD52A683-F7AC-44FC-BD88-1AE092DBAE69}"/>
    <cellStyle name="F3 2 2" xfId="1469" xr:uid="{544717EC-3CC5-4E9C-9A96-9776A1929335}"/>
    <cellStyle name="F3 2 3" xfId="1470" xr:uid="{4145A777-277F-4857-86F3-C1DAF42F0669}"/>
    <cellStyle name="F3 2 4" xfId="1471" xr:uid="{477696DC-5DA5-41D2-A259-1996FE5E746E}"/>
    <cellStyle name="F3 2 5" xfId="1472" xr:uid="{2C91A2D3-8076-41F3-8638-1C046A4BD049}"/>
    <cellStyle name="F3 2 6" xfId="1473" xr:uid="{301F7DF8-AF9A-4B52-B53F-786D53149DDF}"/>
    <cellStyle name="F3 2 7" xfId="1474" xr:uid="{4CA2D0C4-D075-422F-AC4E-042A512E282F}"/>
    <cellStyle name="F3 2 8" xfId="1475" xr:uid="{838189AB-A504-400E-B324-66A64900B20A}"/>
    <cellStyle name="F3 2_ActiFijos" xfId="1476" xr:uid="{145932F3-8300-4457-8F8E-03172F9931D3}"/>
    <cellStyle name="F3 3" xfId="1477" xr:uid="{7C3F36F4-2526-4B05-ADDC-2455DA72009B}"/>
    <cellStyle name="F3 3 2" xfId="1478" xr:uid="{0EC49045-72A6-42AB-ABBE-B4E5037B3E95}"/>
    <cellStyle name="F3 3 3" xfId="1479" xr:uid="{022BBFA1-FE96-4622-BD06-9FC04D53897E}"/>
    <cellStyle name="F3 3 4" xfId="1480" xr:uid="{389BF198-F27D-4BD6-B56B-3E3F1AF8C793}"/>
    <cellStyle name="F3 3 5" xfId="1481" xr:uid="{5135A64F-2E76-4C5A-A4F4-7748BE8AD2C3}"/>
    <cellStyle name="F3 3 6" xfId="1482" xr:uid="{D0440231-F117-4040-968D-37032350D0F6}"/>
    <cellStyle name="F3 3 7" xfId="1483" xr:uid="{D9146699-F51D-45DB-8801-645936C806CA}"/>
    <cellStyle name="F3 3 8" xfId="1484" xr:uid="{46D3F6B2-475A-4D2F-A801-53C56F2A8CB1}"/>
    <cellStyle name="F3 3_ActiFijos" xfId="1485" xr:uid="{359175BA-29D2-4662-992D-EEBEE4875BFE}"/>
    <cellStyle name="F3 4" xfId="1486" xr:uid="{4C024917-EA3E-43D8-98D6-92945D0E19A5}"/>
    <cellStyle name="F3 4 2" xfId="1487" xr:uid="{8CF8AC16-40E3-43AD-A745-5BC9F943B547}"/>
    <cellStyle name="F3 4 3" xfId="1488" xr:uid="{E5011596-9714-4861-A6D0-0352CA43DF35}"/>
    <cellStyle name="F3 4 4" xfId="1489" xr:uid="{759249ED-EC09-4225-821D-D09A8F4199D2}"/>
    <cellStyle name="F3 4 5" xfId="1490" xr:uid="{8DF1DF69-7900-467F-B22F-EC077EDB9ED1}"/>
    <cellStyle name="F3 4 6" xfId="1491" xr:uid="{C4FE9AE8-EE4F-45A6-B1B0-F243D026F7A6}"/>
    <cellStyle name="F3 4 7" xfId="1492" xr:uid="{68DE2B80-8FE5-42D4-9885-62C2C14DC1C8}"/>
    <cellStyle name="F3 4 8" xfId="1493" xr:uid="{E5EAF114-793B-4F55-B247-61F5181A01E9}"/>
    <cellStyle name="F3 4_ActiFijos" xfId="1494" xr:uid="{BAC5B87D-8EB6-4B9B-A452-0E8DE9020109}"/>
    <cellStyle name="F3_Bases_Generales" xfId="1495" xr:uid="{0BF53227-FCC1-4AAD-8E83-631BBEDF1A72}"/>
    <cellStyle name="F4" xfId="1496" xr:uid="{C5F65904-84C3-41A2-9A20-F5DBB9A52526}"/>
    <cellStyle name="F4 2" xfId="1497" xr:uid="{78DD4EB1-59A0-4669-9C24-C2EBFD577D30}"/>
    <cellStyle name="F4 2 2" xfId="1498" xr:uid="{FE10262D-A9FC-430D-B867-55505387F0C1}"/>
    <cellStyle name="F4 2 3" xfId="1499" xr:uid="{0D739AA7-1027-427F-8906-EE133B3605CA}"/>
    <cellStyle name="F4 2 4" xfId="1500" xr:uid="{52F183C1-D9B9-4BB7-9462-44C55E8DEB03}"/>
    <cellStyle name="F4 2 5" xfId="1501" xr:uid="{E8ADEF96-1B8C-4FC1-AAED-E2E5C4C40F77}"/>
    <cellStyle name="F4 2 6" xfId="1502" xr:uid="{C45D7612-39FA-45FF-8716-A48A7251CB3E}"/>
    <cellStyle name="F4 2 7" xfId="1503" xr:uid="{BE7AA57F-FB58-4EB8-8D39-B029E5A788A7}"/>
    <cellStyle name="F4 2 8" xfId="1504" xr:uid="{42A30E96-CB1C-4C74-B0D1-A64DF6F7C4EC}"/>
    <cellStyle name="F4 2_ActiFijos" xfId="1505" xr:uid="{A3220FD5-0A48-45D1-934A-F7ACDFD6B82B}"/>
    <cellStyle name="F4 3" xfId="1506" xr:uid="{E02323B7-7CF0-4F72-A7AD-13C7CBDFA55F}"/>
    <cellStyle name="F4 3 2" xfId="1507" xr:uid="{94FACEBA-BA75-468B-A0F0-A7C1D3343D8D}"/>
    <cellStyle name="F4 3 3" xfId="1508" xr:uid="{14AC5D45-6D5C-49EF-8166-948AC6A56C06}"/>
    <cellStyle name="F4 3 4" xfId="1509" xr:uid="{681C74B6-04CF-4436-AD88-5F0DAD5437CA}"/>
    <cellStyle name="F4 3 5" xfId="1510" xr:uid="{094D7669-40A0-4AEA-B2E2-663D220DF696}"/>
    <cellStyle name="F4 3 6" xfId="1511" xr:uid="{FE91B377-2FBE-48BE-9C30-732A4A5AB24E}"/>
    <cellStyle name="F4 3 7" xfId="1512" xr:uid="{1C634E2B-365B-4C9B-A448-422631B6A3C3}"/>
    <cellStyle name="F4 3 8" xfId="1513" xr:uid="{F363628B-523B-4AAE-AF67-F1822278C890}"/>
    <cellStyle name="F4 3_ActiFijos" xfId="1514" xr:uid="{1385A443-9C1D-44E6-A392-7BCBB33896E4}"/>
    <cellStyle name="F4 4" xfId="1515" xr:uid="{B1731E93-AA7D-4F20-92F4-1E1A59738AD8}"/>
    <cellStyle name="F4 4 2" xfId="1516" xr:uid="{8CAE97E2-E5BB-4BA3-A192-C3DC18E48A03}"/>
    <cellStyle name="F4 4 3" xfId="1517" xr:uid="{51C97C59-238B-4334-B927-DD15D1C43484}"/>
    <cellStyle name="F4 4 4" xfId="1518" xr:uid="{14AF669B-DC3E-421F-B1BC-5E3FA3CD75A3}"/>
    <cellStyle name="F4 4 5" xfId="1519" xr:uid="{69EE8B0E-75A9-4BD3-B0BD-4A119072FABC}"/>
    <cellStyle name="F4 4 6" xfId="1520" xr:uid="{1EFEE2FD-F27F-46E3-A96F-224053029B70}"/>
    <cellStyle name="F4 4 7" xfId="1521" xr:uid="{196E0744-EC36-4C92-872B-7B5DAEAEF50F}"/>
    <cellStyle name="F4 4 8" xfId="1522" xr:uid="{A2501554-B0FD-47E7-8138-1FC3E2FFEC01}"/>
    <cellStyle name="F4 4_ActiFijos" xfId="1523" xr:uid="{C701FD32-A0D5-47EE-900B-45497815A7AB}"/>
    <cellStyle name="F4_Bases_Generales" xfId="1524" xr:uid="{0F2105F8-57B1-40DB-B2EF-BDCA88FF6D98}"/>
    <cellStyle name="F5" xfId="1525" xr:uid="{AC65799A-CCAA-4250-96DD-5E5450AF6548}"/>
    <cellStyle name="F5 2" xfId="1526" xr:uid="{2104EA06-A800-49BD-ACB5-3A86C921D5F3}"/>
    <cellStyle name="F5 2 2" xfId="1527" xr:uid="{D1AB5779-7C5F-449E-83DD-A87E2977CB68}"/>
    <cellStyle name="F5 2 3" xfId="1528" xr:uid="{08FD16B9-8DAE-4245-A357-FA3E386CFFE0}"/>
    <cellStyle name="F5 2 4" xfId="1529" xr:uid="{D1E3C8C5-B4C9-4E56-AC59-0F1F3B30D9C8}"/>
    <cellStyle name="F5 2 5" xfId="1530" xr:uid="{9DB13E07-4732-4F20-BBB1-5CCF4088FD14}"/>
    <cellStyle name="F5 2 6" xfId="1531" xr:uid="{ACE47CC5-29BE-4438-A427-BD1E2BA097AD}"/>
    <cellStyle name="F5 2 7" xfId="1532" xr:uid="{BCF3C2A1-ACAC-4C18-9BD4-9EE2A104FA4E}"/>
    <cellStyle name="F5 2 8" xfId="1533" xr:uid="{4628AEC0-C1BD-46A9-9A7F-6DE7790787F9}"/>
    <cellStyle name="F5 2_ActiFijos" xfId="1534" xr:uid="{8B3E0EEE-D057-49B2-A125-DB4669713066}"/>
    <cellStyle name="F5 3" xfId="1535" xr:uid="{3D4F5CEB-77E9-4321-8D1E-039BB3B492CA}"/>
    <cellStyle name="F5 3 2" xfId="1536" xr:uid="{851698A4-3B6F-4DE8-AA6F-A945B4D54C07}"/>
    <cellStyle name="F5 3 3" xfId="1537" xr:uid="{702C173F-EB5D-4808-B702-D022EFF3419B}"/>
    <cellStyle name="F5 3 4" xfId="1538" xr:uid="{4F558D70-88BC-4E5F-8AAB-7E6DB3DC6257}"/>
    <cellStyle name="F5 3 5" xfId="1539" xr:uid="{79F7D41B-4655-40EB-B285-51B2835416B4}"/>
    <cellStyle name="F5 3 6" xfId="1540" xr:uid="{1EC5379A-9D84-4B9B-B0DE-980AA80A5993}"/>
    <cellStyle name="F5 3 7" xfId="1541" xr:uid="{F5A00AC2-171C-4A92-9807-9584E970391F}"/>
    <cellStyle name="F5 3 8" xfId="1542" xr:uid="{BF6EF974-C493-4641-8FAC-1D37292D21E2}"/>
    <cellStyle name="F5 3_ActiFijos" xfId="1543" xr:uid="{9FD2D19A-C19F-4383-9B1F-DA5B124EF112}"/>
    <cellStyle name="F5 4" xfId="1544" xr:uid="{E854C5ED-8C34-4FED-9EC2-3070E89FA116}"/>
    <cellStyle name="F5 4 2" xfId="1545" xr:uid="{AE4C50C8-81FC-4B9E-AD23-7B2E845A3C4C}"/>
    <cellStyle name="F5 4 3" xfId="1546" xr:uid="{4D553ECB-36DD-461A-BD5F-B642685F3157}"/>
    <cellStyle name="F5 4 4" xfId="1547" xr:uid="{107A0469-11EF-4434-B9B5-F11604A11FCF}"/>
    <cellStyle name="F5 4 5" xfId="1548" xr:uid="{813D8BFC-FAE7-44F1-BABC-E44D12BFC862}"/>
    <cellStyle name="F5 4 6" xfId="1549" xr:uid="{0F5D9B5D-46AD-4147-8CC9-1F38AF072474}"/>
    <cellStyle name="F5 4 7" xfId="1550" xr:uid="{1D42DDF0-4268-4E72-A9E8-5A92960C8F85}"/>
    <cellStyle name="F5 4 8" xfId="1551" xr:uid="{B55E58EF-ADDC-4582-8921-8DC0EBDDEC98}"/>
    <cellStyle name="F5 4_ActiFijos" xfId="1552" xr:uid="{4958FE14-9FD5-4589-B51C-6F5020D4BFB6}"/>
    <cellStyle name="F5_Bases_Generales" xfId="1553" xr:uid="{D36AE29F-1DF2-4697-BFCB-BEFB5818984D}"/>
    <cellStyle name="F6" xfId="1554" xr:uid="{E0D8E180-0FD4-4226-86F9-7A52A1C44C6F}"/>
    <cellStyle name="F6 2" xfId="1555" xr:uid="{6723BFA1-A569-40AA-B36D-FC7A60F6E920}"/>
    <cellStyle name="F6 2 2" xfId="1556" xr:uid="{E4EE3D29-5F7D-4998-9829-8805103194DF}"/>
    <cellStyle name="F6 2 3" xfId="1557" xr:uid="{0AB4CC54-87F5-49F7-8F91-5F4E93527004}"/>
    <cellStyle name="F6 2 4" xfId="1558" xr:uid="{3D86E6F2-D71A-4ED9-A353-1632BAFA5D35}"/>
    <cellStyle name="F6 2 5" xfId="1559" xr:uid="{07BF94CB-5DD7-4620-855D-CB1D0CF4C642}"/>
    <cellStyle name="F6 2 6" xfId="1560" xr:uid="{CA44CA98-DEB2-430F-A306-484E3FB8FAE5}"/>
    <cellStyle name="F6 2 7" xfId="1561" xr:uid="{3587E099-71D7-4F25-A49D-C08E8D2408A4}"/>
    <cellStyle name="F6 2 8" xfId="1562" xr:uid="{24C4CE67-031E-4DDF-84C8-A77D32631150}"/>
    <cellStyle name="F6 2_ActiFijos" xfId="1563" xr:uid="{AE1796A4-D31A-48F3-B1D9-BD22C687FFE4}"/>
    <cellStyle name="F6 3" xfId="1564" xr:uid="{6374FF3E-F538-41EF-B11A-AB994B3D660B}"/>
    <cellStyle name="F6 3 2" xfId="1565" xr:uid="{4806672D-1610-4FEC-942A-6AC526FF457E}"/>
    <cellStyle name="F6 3 3" xfId="1566" xr:uid="{2B2BDAD0-538A-44BB-B243-CC575DD8A0FE}"/>
    <cellStyle name="F6 3 4" xfId="1567" xr:uid="{34A79B3E-C1FC-441E-802F-899D2053D408}"/>
    <cellStyle name="F6 3 5" xfId="1568" xr:uid="{AA505C8A-1CA5-451C-960E-7BD8AAAB1D05}"/>
    <cellStyle name="F6 3 6" xfId="1569" xr:uid="{9A08CC28-5FD1-4524-A0B3-903638F5B3FF}"/>
    <cellStyle name="F6 3 7" xfId="1570" xr:uid="{14640CD6-D592-4A89-998E-B01B4A89449F}"/>
    <cellStyle name="F6 3 8" xfId="1571" xr:uid="{D0F7B75D-C865-4E7E-87C8-B6B0F96DA0B7}"/>
    <cellStyle name="F6 3_ActiFijos" xfId="1572" xr:uid="{31EB481F-0137-48CE-A196-E1890AC45640}"/>
    <cellStyle name="F6 4" xfId="1573" xr:uid="{E93E0E73-6D81-48F8-A3F0-BDF542019C7D}"/>
    <cellStyle name="F6 4 2" xfId="1574" xr:uid="{723126B1-71E2-428E-A2B4-4BA17A7B046A}"/>
    <cellStyle name="F6 4 3" xfId="1575" xr:uid="{9B01B671-5F1B-4BE7-A86E-8728217EBA55}"/>
    <cellStyle name="F6 4 4" xfId="1576" xr:uid="{DA1F2743-7EC8-4D56-849A-E04688134B4A}"/>
    <cellStyle name="F6 4 5" xfId="1577" xr:uid="{3EA8FC94-8021-4BCA-86A6-CB67DEC831E6}"/>
    <cellStyle name="F6 4 6" xfId="1578" xr:uid="{C30A224A-EBE8-4512-B771-6DDF1FB8BE14}"/>
    <cellStyle name="F6 4 7" xfId="1579" xr:uid="{1C5DE158-B69E-4F51-B2A2-BED75965D151}"/>
    <cellStyle name="F6 4 8" xfId="1580" xr:uid="{80D38533-9D89-42AC-A830-DA5D718BDB51}"/>
    <cellStyle name="F6 4_ActiFijos" xfId="1581" xr:uid="{F6B25A73-535A-45EB-B600-5804C8FA8CE7}"/>
    <cellStyle name="F6_Bases_Generales" xfId="1582" xr:uid="{2BD5EF0C-25A1-43B1-965B-241E9D0B15A7}"/>
    <cellStyle name="F7" xfId="1583" xr:uid="{622C4E51-A5D6-4DB9-A6D5-42E32F16AB53}"/>
    <cellStyle name="F7 2" xfId="1584" xr:uid="{9F15C150-BB77-476C-A185-3A9D29006E2F}"/>
    <cellStyle name="F7 2 2" xfId="1585" xr:uid="{DB1ACAA8-8C21-4C77-8810-A0D0F0C76E3F}"/>
    <cellStyle name="F7 2 3" xfId="1586" xr:uid="{B5549311-BA9B-4756-91A7-18D262D93D32}"/>
    <cellStyle name="F7 2 4" xfId="1587" xr:uid="{D7A1DA7D-BA18-4103-A08B-06F0FBE5E151}"/>
    <cellStyle name="F7 2 5" xfId="1588" xr:uid="{BAC33A3B-F8F3-4D2C-819B-06902BC4C59C}"/>
    <cellStyle name="F7 2 6" xfId="1589" xr:uid="{E917F643-7502-42E7-ACEA-6F2AE95021DF}"/>
    <cellStyle name="F7 2 7" xfId="1590" xr:uid="{CCB1E637-68CF-464D-943C-B2314A386DDA}"/>
    <cellStyle name="F7 2 8" xfId="1591" xr:uid="{C87217D6-C4D8-4E42-8FDD-3630329850C3}"/>
    <cellStyle name="F7 2_ActiFijos" xfId="1592" xr:uid="{845A8523-3E6A-4654-A552-0578299EAEB6}"/>
    <cellStyle name="F7 3" xfId="1593" xr:uid="{A1639E4D-022B-4CC2-8384-F00C079A94E8}"/>
    <cellStyle name="F7 3 2" xfId="1594" xr:uid="{D96EF8CA-2850-4E1B-8C89-AD579B5D8ABF}"/>
    <cellStyle name="F7 3 3" xfId="1595" xr:uid="{841B4458-FCEB-47A6-B428-2119B12A5366}"/>
    <cellStyle name="F7 3 4" xfId="1596" xr:uid="{F7635DF7-1513-469C-AFA1-E808ED5B0240}"/>
    <cellStyle name="F7 3 5" xfId="1597" xr:uid="{59D66A05-65D5-40BE-98CA-7689A70DC3D3}"/>
    <cellStyle name="F7 3 6" xfId="1598" xr:uid="{3C0406C4-E125-4A11-BE57-0140FBDD6275}"/>
    <cellStyle name="F7 3 7" xfId="1599" xr:uid="{CEF5CB6A-8B19-485A-B71C-0E5BD5C1DF2E}"/>
    <cellStyle name="F7 3 8" xfId="1600" xr:uid="{AFA1DAEC-8BBA-4022-B618-0D53B4BB949F}"/>
    <cellStyle name="F7 3_ActiFijos" xfId="1601" xr:uid="{67EB4D13-B06F-48AF-83E4-9BB5BC1B8F2F}"/>
    <cellStyle name="F7 4" xfId="1602" xr:uid="{F205C167-7B17-46C1-90CB-AE5FE3290C38}"/>
    <cellStyle name="F7 4 2" xfId="1603" xr:uid="{C037C68B-AC70-44B6-972B-FE8ACA546FE3}"/>
    <cellStyle name="F7 4 3" xfId="1604" xr:uid="{A2C983CD-84AB-4332-B4FB-FA2596FC115E}"/>
    <cellStyle name="F7 4 4" xfId="1605" xr:uid="{0F0320F2-DC88-4CF4-8498-27F75EADE362}"/>
    <cellStyle name="F7 4 5" xfId="1606" xr:uid="{926D8788-56A6-4B6F-836C-D32F3E18F240}"/>
    <cellStyle name="F7 4 6" xfId="1607" xr:uid="{F41B6B98-8429-46B9-8DAA-35ABD04F590E}"/>
    <cellStyle name="F7 4 7" xfId="1608" xr:uid="{BD5DEE45-CB00-446A-BA3C-2763F46F6B4D}"/>
    <cellStyle name="F7 4 8" xfId="1609" xr:uid="{38D07B6D-6545-46B3-9FF5-B1CBF0527366}"/>
    <cellStyle name="F7 4_ActiFijos" xfId="1610" xr:uid="{74127823-CA0B-43F5-B11F-B15F4F350C11}"/>
    <cellStyle name="F7_Bases_Generales" xfId="1611" xr:uid="{C81D2E4D-DF58-49F6-ACC6-90597A9C6AF3}"/>
    <cellStyle name="F8" xfId="1612" xr:uid="{1C386832-A841-40A1-B2FE-21C02E66670A}"/>
    <cellStyle name="F8 2" xfId="1613" xr:uid="{2C2C10EA-9A23-4E5F-9437-62B75EEF98C0}"/>
    <cellStyle name="F8 2 2" xfId="1614" xr:uid="{43C4251E-49E6-49D2-B92C-9EB0EF2AC955}"/>
    <cellStyle name="F8 2 3" xfId="1615" xr:uid="{B37BA8EB-86D5-4A04-8E1B-8A35D5108163}"/>
    <cellStyle name="F8 2 4" xfId="1616" xr:uid="{83E9011D-B469-4FF5-ACE7-C1054036B06C}"/>
    <cellStyle name="F8 2 5" xfId="1617" xr:uid="{E3990916-2A3F-43F1-91CC-B414A4A2C7A5}"/>
    <cellStyle name="F8 2 6" xfId="1618" xr:uid="{062B4936-8FFB-4FDF-8D0D-3174245C116C}"/>
    <cellStyle name="F8 2 7" xfId="1619" xr:uid="{3F666D58-EB5B-4B35-B634-BF2D481A3A47}"/>
    <cellStyle name="F8 2 8" xfId="1620" xr:uid="{B9A479B9-41A3-40B2-B1BE-EBC69FB1A6BC}"/>
    <cellStyle name="F8 2_ActiFijos" xfId="1621" xr:uid="{DE862481-647B-435F-AF53-3390F2100440}"/>
    <cellStyle name="F8 3" xfId="1622" xr:uid="{0CFC7672-F458-4411-A552-977764CFC612}"/>
    <cellStyle name="F8 3 2" xfId="1623" xr:uid="{CBB4C17C-0B12-4B6B-9F52-0E9D21F765B1}"/>
    <cellStyle name="F8 3 3" xfId="1624" xr:uid="{30719B78-50C7-4948-B35E-11E1A8760564}"/>
    <cellStyle name="F8 3 4" xfId="1625" xr:uid="{60124AE8-3F7B-4CDB-9CAD-F24D8E6AF131}"/>
    <cellStyle name="F8 3 5" xfId="1626" xr:uid="{66E7C209-DA0A-45AA-A7E2-1E036BB2EB44}"/>
    <cellStyle name="F8 3 6" xfId="1627" xr:uid="{0E26993C-79F6-452A-8457-47FE4309144C}"/>
    <cellStyle name="F8 3 7" xfId="1628" xr:uid="{B265E780-C5CE-46CD-A116-D4A538121C81}"/>
    <cellStyle name="F8 3 8" xfId="1629" xr:uid="{592E0B4C-F168-4654-9A49-4CD32E92A03A}"/>
    <cellStyle name="F8 3_ActiFijos" xfId="1630" xr:uid="{24AB5535-191D-4826-B791-E6BF1A5F0076}"/>
    <cellStyle name="F8 4" xfId="1631" xr:uid="{E2054C91-449E-4A7A-9EE7-1A8E5F058681}"/>
    <cellStyle name="F8 4 2" xfId="1632" xr:uid="{4C5936F0-7E48-4A07-9B71-E2B45A68E200}"/>
    <cellStyle name="F8 4 3" xfId="1633" xr:uid="{3BC72705-BBA6-4B5B-B2BF-3349015F61ED}"/>
    <cellStyle name="F8 4 4" xfId="1634" xr:uid="{8C7795E8-C391-4835-99E0-FB3C487734A4}"/>
    <cellStyle name="F8 4 5" xfId="1635" xr:uid="{3E1CD2B1-FFDB-42D4-A82D-E84CD2D0FE5A}"/>
    <cellStyle name="F8 4 6" xfId="1636" xr:uid="{8EDA6611-2C36-435C-B318-41BDD82A0BF9}"/>
    <cellStyle name="F8 4 7" xfId="1637" xr:uid="{0C649C20-3ABB-44C8-A506-663288993288}"/>
    <cellStyle name="F8 4 8" xfId="1638" xr:uid="{DED49EA1-9242-4807-9302-0477C0EC7E0E}"/>
    <cellStyle name="F8 4_ActiFijos" xfId="1639" xr:uid="{D4C278C3-FA33-496E-B06D-E0035B6501A2}"/>
    <cellStyle name="F8_Bases_Generales" xfId="1640" xr:uid="{287CB42C-3AC5-4E13-A43A-13C263A84A61}"/>
    <cellStyle name="Fecha" xfId="3406" xr:uid="{E470F4FA-5266-4F8C-A681-AE7DA5C2AE3D}"/>
    <cellStyle name="Fijo" xfId="3407" xr:uid="{711CD697-B7D5-4448-9D59-7697A40A41EC}"/>
    <cellStyle name="Financiero" xfId="3408" xr:uid="{9CE7A763-7ADB-4432-909E-AAF13431C95D}"/>
    <cellStyle name="Fixed" xfId="1641" xr:uid="{6DAE1975-44F5-4527-A799-8DA674637DC3}"/>
    <cellStyle name="Fixed 10" xfId="1642" xr:uid="{79A3E639-712B-4A37-9212-BFEFEB9E5EEA}"/>
    <cellStyle name="Fixed 10 2" xfId="5051" xr:uid="{BBC51E1F-A28C-448E-A856-A9FB44E63AC0}"/>
    <cellStyle name="Fixed 11" xfId="1643" xr:uid="{3F1B22CF-080A-4355-8A37-F9200E77F0A6}"/>
    <cellStyle name="Fixed 11 2" xfId="5052" xr:uid="{98F05621-BF96-468B-93F2-0941DB002D35}"/>
    <cellStyle name="Fixed 12" xfId="1644" xr:uid="{727375C2-3D32-4B10-A8FA-BD6585D0D3C1}"/>
    <cellStyle name="Fixed 13" xfId="1645" xr:uid="{2416222A-569E-496A-8029-95859C6C4ACE}"/>
    <cellStyle name="Fixed 2" xfId="1646" xr:uid="{9D65667B-0A83-4B04-81F2-CF318C870669}"/>
    <cellStyle name="Fixed 2 2" xfId="1647" xr:uid="{0818069B-C184-4DB8-AE8B-30F67EC8C0D2}"/>
    <cellStyle name="Fixed 2 2 2" xfId="5053" xr:uid="{72F7BD4D-BB0B-403A-83BF-4861E83DFA3A}"/>
    <cellStyle name="Fixed 2 3" xfId="1648" xr:uid="{A37B0F71-AECA-4717-A5B3-C421E189F50C}"/>
    <cellStyle name="Fixed 2 3 2" xfId="5054" xr:uid="{A488D1E2-3241-47A4-864C-DCA7A5AD1E49}"/>
    <cellStyle name="Fixed 2 4" xfId="1649" xr:uid="{2FA41C97-23C3-4800-AF03-847B68E8423E}"/>
    <cellStyle name="Fixed 2 4 2" xfId="5055" xr:uid="{AC6559EC-6383-4CBB-AF19-DABB987429DD}"/>
    <cellStyle name="Fixed 2 5" xfId="1650" xr:uid="{A4EC54A3-2889-41C4-8507-82C83C31CBA2}"/>
    <cellStyle name="Fixed 2 5 2" xfId="5056" xr:uid="{B881510F-6B99-4D94-873B-3BCE28161F46}"/>
    <cellStyle name="Fixed 2 6" xfId="1651" xr:uid="{053625EC-6C8F-4DAD-AEDB-ECE58E9B09E7}"/>
    <cellStyle name="Fixed 2 6 2" xfId="5057" xr:uid="{B099C667-C645-4458-A74D-0CB05B16F3CD}"/>
    <cellStyle name="Fixed 2 7" xfId="1652" xr:uid="{ECD6D18F-3533-4947-A3D8-D64780A7923A}"/>
    <cellStyle name="Fixed 2 8" xfId="1653" xr:uid="{65B7D122-9ED3-4131-9E03-33BAB7FC375A}"/>
    <cellStyle name="Fixed 3" xfId="1654" xr:uid="{755ADEA6-784C-4527-9033-6B4ECF4179A5}"/>
    <cellStyle name="Fixed 3 2" xfId="1655" xr:uid="{2577F093-EC36-48A1-877A-0F93779B6405}"/>
    <cellStyle name="Fixed 3 2 2" xfId="5058" xr:uid="{DA91CCF8-256A-4056-8C36-B31DEA3C9064}"/>
    <cellStyle name="Fixed 3 3" xfId="1656" xr:uid="{1C3974AB-3E4D-4258-8EDB-901690B6BA26}"/>
    <cellStyle name="Fixed 3 3 2" xfId="5059" xr:uid="{594894FF-675D-4E03-BF2D-5DE4516C783F}"/>
    <cellStyle name="Fixed 3 4" xfId="1657" xr:uid="{923053A4-310D-490A-8075-01F64B1E19FA}"/>
    <cellStyle name="Fixed 3 4 2" xfId="5060" xr:uid="{3B3E52C3-2E72-4630-B6DC-D99DA5575ADF}"/>
    <cellStyle name="Fixed 3 5" xfId="1658" xr:uid="{F6D2D258-CE67-4D31-9D0E-4AA284056CE6}"/>
    <cellStyle name="Fixed 3 5 2" xfId="5061" xr:uid="{2CDE6A86-B5F4-47B9-89AD-9C82ED3627F9}"/>
    <cellStyle name="Fixed 3 6" xfId="1659" xr:uid="{9ED74E74-9A33-4DBC-972D-CBF7C5C22D97}"/>
    <cellStyle name="Fixed 3 6 2" xfId="5062" xr:uid="{2728D51F-D41C-467C-91FC-FB565F151797}"/>
    <cellStyle name="Fixed 3 7" xfId="1660" xr:uid="{BECF9E87-97F4-4D13-95CA-DED83C91729D}"/>
    <cellStyle name="Fixed 3 8" xfId="1661" xr:uid="{7573DB03-51EA-400E-8890-A0CFA469DEF8}"/>
    <cellStyle name="Fixed 4" xfId="1662" xr:uid="{81462113-AD0D-4C93-8A4D-1A953E214892}"/>
    <cellStyle name="Fixed 4 2" xfId="1663" xr:uid="{28E30190-8599-46CE-BAA5-98B1ABEED38F}"/>
    <cellStyle name="Fixed 4 2 2" xfId="5063" xr:uid="{763AECE1-AB0C-4B3C-B525-364825657545}"/>
    <cellStyle name="Fixed 4 3" xfId="1664" xr:uid="{843C3E88-1506-4BBB-BC89-1C73D30E97E6}"/>
    <cellStyle name="Fixed 4 3 2" xfId="5064" xr:uid="{EA0EA97E-B0CF-406D-8EA0-CA5A0E54A5B8}"/>
    <cellStyle name="Fixed 4 4" xfId="1665" xr:uid="{46E4FBFE-0800-42C5-9336-ADF2DAADAF08}"/>
    <cellStyle name="Fixed 4 4 2" xfId="5065" xr:uid="{3D929E9B-B211-4D4A-B2B8-05261BC177D1}"/>
    <cellStyle name="Fixed 4 5" xfId="1666" xr:uid="{32AFD7A4-512A-4FCB-B292-3336253EDA5B}"/>
    <cellStyle name="Fixed 4 5 2" xfId="5066" xr:uid="{3FD49D0E-5A76-48FF-8CFD-C2717C96C1D9}"/>
    <cellStyle name="Fixed 4 6" xfId="1667" xr:uid="{03A4DEF7-C3E8-4FD4-878C-98A38BD6A964}"/>
    <cellStyle name="Fixed 4 6 2" xfId="5067" xr:uid="{9721D9EE-5F4D-4011-AD4A-E07F8B102CD6}"/>
    <cellStyle name="Fixed 4 7" xfId="1668" xr:uid="{44168AF6-AE46-4E28-AABF-4F7C06D65370}"/>
    <cellStyle name="Fixed 4 8" xfId="1669" xr:uid="{775A137D-1A93-4421-959F-4669258D9133}"/>
    <cellStyle name="Fixed 5" xfId="1670" xr:uid="{914CFD02-0B68-4EB2-B311-4490242A5103}"/>
    <cellStyle name="Fixed 5 2" xfId="5068" xr:uid="{6A57134E-FBC1-4FA2-99F4-F5D11CE207A0}"/>
    <cellStyle name="Fixed 6" xfId="1671" xr:uid="{A841B8FA-043E-4A8F-87AB-7DB369BD5245}"/>
    <cellStyle name="Fixed 6 2" xfId="5069" xr:uid="{F88E8540-87FC-4A2A-80D8-54476CAAD9E1}"/>
    <cellStyle name="Fixed 7" xfId="1672" xr:uid="{749C9F64-7A5F-4CDE-9D28-3700D032357B}"/>
    <cellStyle name="Fixed 7 2" xfId="5070" xr:uid="{D7CC26B4-E4ED-483F-B086-F5565981A9C0}"/>
    <cellStyle name="Fixed 8" xfId="1673" xr:uid="{5CAD94B1-6F63-4E5F-97DC-F6819DEE0C86}"/>
    <cellStyle name="Fixed 8 2" xfId="5071" xr:uid="{5F862230-821A-4C7F-8113-2CE9B0D8D1CC}"/>
    <cellStyle name="Fixed 9" xfId="1674" xr:uid="{51073DF0-9672-43EB-A188-73ED9C7F4068}"/>
    <cellStyle name="Fixed 9 2" xfId="5072" xr:uid="{BD261570-D7D3-40F4-ABF2-2FCC23560CB1}"/>
    <cellStyle name="font12" xfId="1675" xr:uid="{1E8DADA2-37CB-46C5-AE21-0AC5F50F7CE0}"/>
    <cellStyle name="font12 10" xfId="3409" xr:uid="{BB91C9E6-9CAD-4CB0-90ED-29304659A92B}"/>
    <cellStyle name="font12 2" xfId="1676" xr:uid="{B5052C00-8BE6-4983-B848-30EA10CEA823}"/>
    <cellStyle name="font12 2 2" xfId="1677" xr:uid="{8CD48865-97BE-4E90-B02C-971C10088957}"/>
    <cellStyle name="font12 2 3" xfId="1678" xr:uid="{5F590163-4937-4523-BCC7-363F3135873E}"/>
    <cellStyle name="font12 2 4" xfId="1679" xr:uid="{1694920B-B8D8-4F89-B84E-BBFE5B0DE19B}"/>
    <cellStyle name="font12 2 5" xfId="1680" xr:uid="{8541D128-29BF-4BB0-AE06-26EDA5EEE9AE}"/>
    <cellStyle name="font12 2 6" xfId="1681" xr:uid="{26B0EDB2-F8E5-41DB-9269-C549F2E98493}"/>
    <cellStyle name="font12 2 7" xfId="1682" xr:uid="{47FE8F1A-8FAB-4328-90E6-382FE943DE49}"/>
    <cellStyle name="font12 2 8" xfId="1683" xr:uid="{CADEE822-A9EA-4717-8368-1774310578E7}"/>
    <cellStyle name="font12 2_ActiFijos" xfId="1684" xr:uid="{215D6A12-9811-4D87-9B5A-249EFACB0E2C}"/>
    <cellStyle name="font12 3" xfId="1685" xr:uid="{EFC0C3A8-8DFD-4CE3-955E-763B4D524D63}"/>
    <cellStyle name="font12 3 2" xfId="1686" xr:uid="{B2F5B9A4-98AE-4CA7-A224-033C8A1DA3DC}"/>
    <cellStyle name="font12 3 3" xfId="1687" xr:uid="{EDB6701F-E190-455D-9317-0ED2D02C5C0A}"/>
    <cellStyle name="font12 3 4" xfId="1688" xr:uid="{E73BC05B-ABC1-4AAD-88AD-D1FAD35247D9}"/>
    <cellStyle name="font12 3 5" xfId="1689" xr:uid="{88954A76-EA4B-4884-9168-86765B8ACB41}"/>
    <cellStyle name="font12 3 6" xfId="1690" xr:uid="{EEC5557F-67ED-44DB-A18B-9C30C215C3C1}"/>
    <cellStyle name="font12 3 7" xfId="1691" xr:uid="{8223A8CC-9A41-4E9B-BFED-0AC250C332EF}"/>
    <cellStyle name="font12 3 8" xfId="1692" xr:uid="{789B76F1-36EB-4D71-93D9-E5AB1067980F}"/>
    <cellStyle name="font12 3_ActiFijos" xfId="1693" xr:uid="{FA8315E8-FB49-4E26-8FFE-3D668E9EACD3}"/>
    <cellStyle name="font12 4" xfId="1694" xr:uid="{4B5F959A-4173-4889-84A6-1B685362735E}"/>
    <cellStyle name="font12 4 2" xfId="1695" xr:uid="{76C03DC3-33C2-4437-A4D2-0F4E7FE6F144}"/>
    <cellStyle name="font12 4 3" xfId="1696" xr:uid="{6598AC52-54F9-42A2-A188-DB28B1CD0488}"/>
    <cellStyle name="font12 4 4" xfId="1697" xr:uid="{F187F302-0EBF-4C52-87A1-3869CABAE414}"/>
    <cellStyle name="font12 4 5" xfId="1698" xr:uid="{B9926AC9-084F-4717-B330-00291805B78D}"/>
    <cellStyle name="font12 4 6" xfId="1699" xr:uid="{B33E7B0B-86C3-4E99-B3AB-0DB5F671FF60}"/>
    <cellStyle name="font12 4 7" xfId="1700" xr:uid="{3FE62122-10C9-423C-A835-368049FD7898}"/>
    <cellStyle name="font12 4 8" xfId="1701" xr:uid="{848C5242-19D8-45B7-A5BF-236C4C4DC070}"/>
    <cellStyle name="font12 4_ActiFijos" xfId="1702" xr:uid="{509DE174-2B3F-4689-A5CA-118BCF1085A9}"/>
    <cellStyle name="font12 5" xfId="3410" xr:uid="{E4F8DD8B-6594-4F79-9B66-ABD5E0A8F134}"/>
    <cellStyle name="font12 6" xfId="3411" xr:uid="{C930920C-E8C5-45FD-AA95-C0F65A6EB573}"/>
    <cellStyle name="font12 7" xfId="3412" xr:uid="{CB97B4D1-FE1E-48CA-83A0-59D8BD4084B8}"/>
    <cellStyle name="font12 8" xfId="3413" xr:uid="{7BE958FD-1F9F-46F8-94EE-52104C2E26FD}"/>
    <cellStyle name="font12 9" xfId="3414" xr:uid="{A4850876-A7DF-4223-983A-2B54769E9114}"/>
    <cellStyle name="font12_Bases_Generales" xfId="1703" xr:uid="{A9493E1C-85E0-4ADC-B619-C6740B3FB885}"/>
    <cellStyle name="font14" xfId="1704" xr:uid="{6246A927-3513-46FB-80B1-098026C368EC}"/>
    <cellStyle name="font14 10" xfId="3415" xr:uid="{ABFF3D96-22B1-4780-9143-1E061BFAA7FF}"/>
    <cellStyle name="font14 2" xfId="1705" xr:uid="{90E6120C-8340-414D-B228-9833441AAA38}"/>
    <cellStyle name="font14 2 2" xfId="1706" xr:uid="{E0DEB6A3-3E31-4921-891A-CF310301C5E8}"/>
    <cellStyle name="font14 2 3" xfId="1707" xr:uid="{61009743-2995-4D31-955A-468A6DA135B2}"/>
    <cellStyle name="font14 2 4" xfId="1708" xr:uid="{0B859F77-F869-430E-AFB9-3E6F384E83A2}"/>
    <cellStyle name="font14 2 5" xfId="1709" xr:uid="{546AD633-EC3C-4A83-932E-6C16676DAA9C}"/>
    <cellStyle name="font14 2 6" xfId="1710" xr:uid="{DA2872A6-690B-45E4-9892-3C55723D5DD6}"/>
    <cellStyle name="font14 2 7" xfId="1711" xr:uid="{C1230B4A-52A2-42F3-978D-6A6877C89246}"/>
    <cellStyle name="font14 2 8" xfId="1712" xr:uid="{FE13404A-FD03-4076-B757-385DC46B50C4}"/>
    <cellStyle name="font14 2_ActiFijos" xfId="1713" xr:uid="{F867349B-DA59-44DA-AC93-567E65A49878}"/>
    <cellStyle name="font14 3" xfId="1714" xr:uid="{18A4628F-12D8-4121-8EAC-F281B3572B8B}"/>
    <cellStyle name="font14 3 2" xfId="1715" xr:uid="{7E351138-0C7D-4E80-9383-8E64134050B8}"/>
    <cellStyle name="font14 3 3" xfId="1716" xr:uid="{12B6FFCD-8759-4E0A-955B-6F676CBCF210}"/>
    <cellStyle name="font14 3 4" xfId="1717" xr:uid="{459619B0-5206-47D8-BB85-34EAFAF246EC}"/>
    <cellStyle name="font14 3 5" xfId="1718" xr:uid="{EC6FCA14-E276-46E4-B3C3-33AC45EA5247}"/>
    <cellStyle name="font14 3 6" xfId="1719" xr:uid="{4910C993-0D9A-480C-93BB-7ECD83FDFA89}"/>
    <cellStyle name="font14 3 7" xfId="1720" xr:uid="{1513E66C-31D3-4A6F-99F1-AEC774284F30}"/>
    <cellStyle name="font14 3 8" xfId="1721" xr:uid="{541D4F5B-AA80-4417-BD6E-2520144B3D72}"/>
    <cellStyle name="font14 3_ActiFijos" xfId="1722" xr:uid="{3639EB07-C5AC-47A1-98F0-CCB3A2A0CFB9}"/>
    <cellStyle name="font14 4" xfId="1723" xr:uid="{C8D8655F-C92A-44EB-85C3-105DB7F39A7B}"/>
    <cellStyle name="font14 4 2" xfId="1724" xr:uid="{C8799C40-E97A-48E8-9F2A-D5C577382F21}"/>
    <cellStyle name="font14 4 3" xfId="1725" xr:uid="{8C978B3F-F962-4B70-A0C0-3C7E1527AA72}"/>
    <cellStyle name="font14 4 4" xfId="1726" xr:uid="{736F18D5-D398-44D3-B8A3-7A787D3F7B8A}"/>
    <cellStyle name="font14 4 5" xfId="1727" xr:uid="{C4ED30C5-DC60-48B3-BB42-C66ABD226AE3}"/>
    <cellStyle name="font14 4 6" xfId="1728" xr:uid="{C15BC8C4-1DBC-48A7-9578-DF00B6AC4116}"/>
    <cellStyle name="font14 4 7" xfId="1729" xr:uid="{53AE502D-123B-42EE-975E-09B56B57BBD5}"/>
    <cellStyle name="font14 4 8" xfId="1730" xr:uid="{8D2B5379-D9C2-43A7-A9D3-2AB5FE4C2369}"/>
    <cellStyle name="font14 4_ActiFijos" xfId="1731" xr:uid="{5C328C7A-E08F-4785-8B2A-764459734E32}"/>
    <cellStyle name="font14 5" xfId="3416" xr:uid="{36DB0761-0914-42CD-B2C9-C4B7ED992205}"/>
    <cellStyle name="font14 6" xfId="3417" xr:uid="{9F2FCA31-FB6F-4D77-B487-23B172FEF3E9}"/>
    <cellStyle name="font14 7" xfId="3418" xr:uid="{B908CEDF-F4F3-48C7-AC10-6D4DB1813279}"/>
    <cellStyle name="font14 8" xfId="3419" xr:uid="{ABAF613F-3EF1-480F-ABBF-9E47D2C11AD0}"/>
    <cellStyle name="font14 9" xfId="3420" xr:uid="{D14F122B-6607-4442-9A13-E1992129E64F}"/>
    <cellStyle name="font14_Bases_Generales" xfId="1732" xr:uid="{AE8348AC-170F-482B-8687-8BE9ADF7C7D2}"/>
    <cellStyle name="Grey" xfId="1733" xr:uid="{F45D44FC-9A27-42B8-8468-B1AABBCDF436}"/>
    <cellStyle name="Grey 10" xfId="1734" xr:uid="{03249546-4B67-44D8-BAA1-4BDA84F3DE9A}"/>
    <cellStyle name="Grey 11" xfId="1735" xr:uid="{A3A4EDB5-F8C2-41E4-A820-F3F7728B478B}"/>
    <cellStyle name="Grey 12" xfId="1736" xr:uid="{E65B4ED1-A802-402E-8768-5AA0EAE98A1B}"/>
    <cellStyle name="Grey 13" xfId="1737" xr:uid="{D13C6B1A-B3AA-48EA-B50F-20D97F34F2C4}"/>
    <cellStyle name="Grey 2" xfId="1738" xr:uid="{F7CB579E-0449-448F-BFB0-8579720D9DBE}"/>
    <cellStyle name="Grey 3" xfId="1739" xr:uid="{CA502748-AD90-4742-B87F-D2154EF375A3}"/>
    <cellStyle name="Grey 4" xfId="1740" xr:uid="{9C9F6697-4AB5-4DE9-BC30-10396CC7B254}"/>
    <cellStyle name="Grey 5" xfId="1741" xr:uid="{64896D9D-DE6A-437F-8235-C4CCFA9AE22B}"/>
    <cellStyle name="Grey 6" xfId="1742" xr:uid="{C7ED57D9-0C1F-45AB-B5BE-22428906BE56}"/>
    <cellStyle name="Grey 7" xfId="1743" xr:uid="{DB3B36A4-6424-4CCD-B105-FBCC2265B4CB}"/>
    <cellStyle name="Grey 8" xfId="1744" xr:uid="{EF8469FA-06C5-4CA2-82F5-020273DFBF1C}"/>
    <cellStyle name="Grey 9" xfId="1745" xr:uid="{CEBEA312-D346-4935-8FF5-18317C4E42D4}"/>
    <cellStyle name="Grey_ActiFijos" xfId="1746" xr:uid="{250D0CE7-2BF9-458E-8014-9B4D4B1D8E10}"/>
    <cellStyle name="Heading 1" xfId="1747" xr:uid="{3E92EAAB-42B4-470D-A6CE-3940D7D59BF3}"/>
    <cellStyle name="Heading 1 2" xfId="1748" xr:uid="{51E1ADF5-513C-455E-8E55-F1136DFDAC03}"/>
    <cellStyle name="Heading 1 2 2" xfId="1749" xr:uid="{F4FE89BA-9BA9-4441-B9B7-E410A21C5B58}"/>
    <cellStyle name="Heading 1 2 3" xfId="1750" xr:uid="{CED2D410-C552-403B-97A2-F4F468FDE0D7}"/>
    <cellStyle name="Heading 1 2 4" xfId="1751" xr:uid="{E89ADFD4-89A3-46B6-BEDE-6BA06467D795}"/>
    <cellStyle name="Heading 1 2 5" xfId="1752" xr:uid="{E1634E05-4B3F-4097-8FC7-314BDD807840}"/>
    <cellStyle name="Heading 1 2 6" xfId="1753" xr:uid="{5BCBE161-1BBF-42A6-A36E-95CE3F08BBE7}"/>
    <cellStyle name="Heading 1 2 7" xfId="1754" xr:uid="{532156F0-4498-416D-8C98-A9A56B89B52F}"/>
    <cellStyle name="Heading 1 2 8" xfId="1755" xr:uid="{D159904F-F3C8-47D0-ACEA-3334C8C85487}"/>
    <cellStyle name="Heading 1 2_ActiFijos" xfId="1756" xr:uid="{41D182C3-7B1A-4041-A0DE-E7017091FEF8}"/>
    <cellStyle name="Heading 1 3" xfId="1757" xr:uid="{1ED6B644-3A5F-4633-B9BE-1D35163EC28C}"/>
    <cellStyle name="Heading 1 3 2" xfId="1758" xr:uid="{668B8852-2B7F-40AA-BC9E-65DF0E5BEDC9}"/>
    <cellStyle name="Heading 1 3 3" xfId="1759" xr:uid="{3AFC1E74-2083-4E2A-BB97-E08A3049EE72}"/>
    <cellStyle name="Heading 1 3 4" xfId="1760" xr:uid="{21D9396D-5428-4AA2-8F1A-E48DC37CC6F1}"/>
    <cellStyle name="Heading 1 3 5" xfId="1761" xr:uid="{C7731F9D-FFF3-4C32-9BB0-9CB940B3AC7F}"/>
    <cellStyle name="Heading 1 3 6" xfId="1762" xr:uid="{820CC523-665F-4912-87BF-45845F3C41C9}"/>
    <cellStyle name="Heading 1 3 7" xfId="1763" xr:uid="{A171B9A9-C7EE-4D8A-8DC4-A44895ED4DBC}"/>
    <cellStyle name="Heading 1 3 8" xfId="1764" xr:uid="{C196B546-D235-4446-9E60-B23AD0E7F6E5}"/>
    <cellStyle name="Heading 1 3_ActiFijos" xfId="1765" xr:uid="{C5825FBB-8056-4963-BE75-D39A0A8FE42F}"/>
    <cellStyle name="Heading 1 4" xfId="1766" xr:uid="{5678C7EC-7C77-4B4B-9F2F-314253148EAC}"/>
    <cellStyle name="Heading 1 4 2" xfId="1767" xr:uid="{E24A2625-07B7-426E-8F8C-4C140AE90EDF}"/>
    <cellStyle name="Heading 1 4 3" xfId="1768" xr:uid="{2068D28C-48F3-485F-A1EF-F6C01E256C39}"/>
    <cellStyle name="Heading 1 4 4" xfId="1769" xr:uid="{4DB965D3-E251-49CB-A748-76124B318073}"/>
    <cellStyle name="Heading 1 4 5" xfId="1770" xr:uid="{2DCF28C7-A4AF-41D2-94B8-C0207407CD77}"/>
    <cellStyle name="Heading 1 4 6" xfId="1771" xr:uid="{165BD03A-72DB-48CC-BC5F-8852D309B7BB}"/>
    <cellStyle name="Heading 1 4 7" xfId="1772" xr:uid="{30A81FA1-DECB-4C4A-A455-EF72192B2EF1}"/>
    <cellStyle name="Heading 1 4 8" xfId="1773" xr:uid="{1C407635-67B1-4A0A-91B0-59E535E2B3BF}"/>
    <cellStyle name="Heading 1 4_ActiFijos" xfId="1774" xr:uid="{7CB62A61-A05D-4AA4-9F71-D1EB792563F4}"/>
    <cellStyle name="Heading 1_Bases_Generales" xfId="1775" xr:uid="{CC6FB3A7-110D-4DAB-9FCC-39419E63316C}"/>
    <cellStyle name="Heading 2" xfId="1776" xr:uid="{D28F32EC-8540-467B-8F98-7F3EE0DAAF82}"/>
    <cellStyle name="Heading 2 2" xfId="1777" xr:uid="{36A657DE-AB1D-4486-A51C-7D9E9C7B3138}"/>
    <cellStyle name="Heading 2 2 2" xfId="1778" xr:uid="{7141297F-F61B-4CF3-AEF5-D5AE96213704}"/>
    <cellStyle name="Heading 2 2 3" xfId="1779" xr:uid="{A5EFE405-0CBA-4281-8294-C9A6544C4C64}"/>
    <cellStyle name="Heading 2 2 4" xfId="1780" xr:uid="{08C1E822-288F-4459-AAA3-F00517143DD1}"/>
    <cellStyle name="Heading 2 2 5" xfId="1781" xr:uid="{B2F60926-8F59-42DC-950B-098C031A168D}"/>
    <cellStyle name="Heading 2 2 6" xfId="1782" xr:uid="{4215E70F-B0E6-4B07-93AD-1831234FF06C}"/>
    <cellStyle name="Heading 2 2 7" xfId="1783" xr:uid="{CA695937-4C1F-41E6-8BF6-688C79266352}"/>
    <cellStyle name="Heading 2 2 8" xfId="1784" xr:uid="{FDE11E60-3FCF-47CE-80FA-1A844F44EE7E}"/>
    <cellStyle name="Heading 2 2_ActiFijos" xfId="1785" xr:uid="{27B99C9E-1966-4CE3-94A7-54B0238FF20C}"/>
    <cellStyle name="Heading 2 3" xfId="1786" xr:uid="{FE083846-95AA-42BE-A612-94365B765C89}"/>
    <cellStyle name="Heading 2 3 2" xfId="1787" xr:uid="{4AE014F0-1B4B-4E62-B147-58466930EA9B}"/>
    <cellStyle name="Heading 2 3 3" xfId="1788" xr:uid="{467BBD0A-F2F0-451F-B756-8430F38E2850}"/>
    <cellStyle name="Heading 2 3 4" xfId="1789" xr:uid="{2825B6B7-028A-4D43-AC6B-41B605579BB4}"/>
    <cellStyle name="Heading 2 3 5" xfId="1790" xr:uid="{3FDADAE5-69E2-4812-9361-0594628B9C6E}"/>
    <cellStyle name="Heading 2 3 6" xfId="1791" xr:uid="{883A70E7-F2FB-4426-B9A8-29B3B024EBBA}"/>
    <cellStyle name="Heading 2 3 7" xfId="1792" xr:uid="{3936754B-41AE-4094-92BF-06B208CA5898}"/>
    <cellStyle name="Heading 2 3 8" xfId="1793" xr:uid="{559CF87A-120A-45A0-832E-3A04696D0C88}"/>
    <cellStyle name="Heading 2 3_ActiFijos" xfId="1794" xr:uid="{DA304291-54DB-4540-8705-E2FF63859736}"/>
    <cellStyle name="Heading 2 4" xfId="1795" xr:uid="{49E86E8A-55E7-4374-AAAE-C7F78C47AE65}"/>
    <cellStyle name="Heading 2 4 2" xfId="1796" xr:uid="{E318E044-306D-43CF-9AC1-2E58EB7D598A}"/>
    <cellStyle name="Heading 2 4 3" xfId="1797" xr:uid="{F21E5231-6C22-4D4E-B733-BBCB97262DD2}"/>
    <cellStyle name="Heading 2 4 4" xfId="1798" xr:uid="{7B6733D4-3D21-4590-A74D-67F970775A95}"/>
    <cellStyle name="Heading 2 4 5" xfId="1799" xr:uid="{1065F896-B44F-4BF4-9968-DBB18C17D278}"/>
    <cellStyle name="Heading 2 4 6" xfId="1800" xr:uid="{512260CD-CEBB-4F67-90A5-C137C1D88F43}"/>
    <cellStyle name="Heading 2 4 7" xfId="1801" xr:uid="{41D7B50E-2886-4AC6-9880-B4F5D6E4AF19}"/>
    <cellStyle name="Heading 2 4 8" xfId="1802" xr:uid="{934F6FF3-706A-42ED-8238-BB91D7B7E9F9}"/>
    <cellStyle name="Heading 2 4_ActiFijos" xfId="1803" xr:uid="{421B84FC-2AE1-41FB-93E9-1A2262809821}"/>
    <cellStyle name="Heading 2_Bases_Generales" xfId="1804" xr:uid="{1364A529-9ABF-4799-9A6B-DD7D1E80A898}"/>
    <cellStyle name="Heading1" xfId="1805" xr:uid="{622D86D9-9E7C-4228-83A5-9A7412ED3ABA}"/>
    <cellStyle name="Heading1 2" xfId="1806" xr:uid="{81B10B70-2B90-4A5B-94E2-D63CC583A965}"/>
    <cellStyle name="Heading1 2 2" xfId="1807" xr:uid="{B3870C3B-A111-439D-BED8-A00D184B4A64}"/>
    <cellStyle name="Heading1 2 3" xfId="1808" xr:uid="{37A22A07-27FD-452F-80E9-EC01A7338414}"/>
    <cellStyle name="Heading1 2 4" xfId="1809" xr:uid="{820EBD6B-6B37-4A87-8437-DE1C575D9BF2}"/>
    <cellStyle name="Heading1 2 5" xfId="1810" xr:uid="{2135248C-16D7-407F-98E3-82038F9FCD3E}"/>
    <cellStyle name="Heading1 2 6" xfId="1811" xr:uid="{E7EE5F41-284B-4B65-B97B-FF3910141FA2}"/>
    <cellStyle name="Heading1 2 7" xfId="1812" xr:uid="{27EF9F85-6C36-4F64-B10E-F6ECA6C32A23}"/>
    <cellStyle name="Heading1 2 8" xfId="1813" xr:uid="{7C15C439-B9CC-4C9F-9940-0E7FE096A0D7}"/>
    <cellStyle name="Heading1 2_ActiFijos" xfId="1814" xr:uid="{7C5CE8A8-DD08-4BB0-BFDD-16B7C1884881}"/>
    <cellStyle name="Heading1 3" xfId="1815" xr:uid="{97172892-1FDF-4138-9816-0F16B5A37B7C}"/>
    <cellStyle name="Heading1 3 2" xfId="1816" xr:uid="{AA06284F-E837-4CEC-9D1F-A127059FFFBB}"/>
    <cellStyle name="Heading1 3 3" xfId="1817" xr:uid="{9052FDF6-B15A-4B0C-97D4-509E1C0BE760}"/>
    <cellStyle name="Heading1 3 4" xfId="1818" xr:uid="{576EB7B2-5B59-4B98-84F4-86CAF5ACE9D6}"/>
    <cellStyle name="Heading1 3 5" xfId="1819" xr:uid="{CC337FA3-79CC-4729-A7F3-589618085BB5}"/>
    <cellStyle name="Heading1 3 6" xfId="1820" xr:uid="{8CE157AC-2199-4693-BC0B-2178F373694F}"/>
    <cellStyle name="Heading1 3 7" xfId="1821" xr:uid="{3056A0CE-8070-483F-A5A2-5342D485AA5D}"/>
    <cellStyle name="Heading1 3 8" xfId="1822" xr:uid="{D4871EA8-7931-4942-9F82-2ADADF2005B2}"/>
    <cellStyle name="Heading1 3_ActiFijos" xfId="1823" xr:uid="{95E668DD-D747-463A-9703-546A49342192}"/>
    <cellStyle name="Heading1 4" xfId="1824" xr:uid="{C0BC5411-A257-4CE1-8253-573881230E1A}"/>
    <cellStyle name="Heading1 4 2" xfId="1825" xr:uid="{2F959A1E-1C2E-4092-B4AF-34D192763CD1}"/>
    <cellStyle name="Heading1 4 3" xfId="1826" xr:uid="{11FA444C-7695-46F4-A9BB-2FF588F7CABE}"/>
    <cellStyle name="Heading1 4 4" xfId="1827" xr:uid="{B3091C40-B82E-4AD2-A0CD-C28BE8606462}"/>
    <cellStyle name="Heading1 4 5" xfId="1828" xr:uid="{DA899BE1-9279-4923-A0F1-862630DB3B92}"/>
    <cellStyle name="Heading1 4 6" xfId="1829" xr:uid="{0A008CF4-A8D7-4A13-A3EF-EFDC1C874E5A}"/>
    <cellStyle name="Heading1 4 7" xfId="1830" xr:uid="{8C048AC9-2AC1-43E1-BDCE-76ED63689E25}"/>
    <cellStyle name="Heading1 4 8" xfId="1831" xr:uid="{F8099C42-2E9C-4570-BCC5-BBB1B8509984}"/>
    <cellStyle name="Heading1 4_ActiFijos" xfId="1832" xr:uid="{32191E2D-1192-47B8-9591-313BD8AA27FD}"/>
    <cellStyle name="Heading1_Bases_Generales" xfId="1833" xr:uid="{6584ECB0-B3C7-4589-BA53-F9D3CEDC8387}"/>
    <cellStyle name="Heading2" xfId="1834" xr:uid="{3446CED4-A37F-47BD-A3FC-D8D5E638D234}"/>
    <cellStyle name="Heading2 2" xfId="1835" xr:uid="{26D481D0-8DA0-4A7E-8960-AA18D4DBB86E}"/>
    <cellStyle name="Heading2 2 2" xfId="1836" xr:uid="{76F8A5C1-8C89-4E06-AE4E-121E50F9BD82}"/>
    <cellStyle name="Heading2 2 3" xfId="1837" xr:uid="{534FDAD1-1152-43E8-AE8E-29A6621F2DED}"/>
    <cellStyle name="Heading2 2 4" xfId="1838" xr:uid="{84843080-446B-4E37-9966-59F6C9670434}"/>
    <cellStyle name="Heading2 2 5" xfId="1839" xr:uid="{B6E25B03-1F58-4B68-BC0C-50A493F7C54D}"/>
    <cellStyle name="Heading2 2 6" xfId="1840" xr:uid="{377DB89C-48B9-471F-B7EE-CE1C525A1254}"/>
    <cellStyle name="Heading2 2 7" xfId="1841" xr:uid="{51ABCB34-8418-47B3-9864-28DE1FCBD6E9}"/>
    <cellStyle name="Heading2 2 8" xfId="1842" xr:uid="{01785101-C2CB-4F3A-BCC0-DA4C36D60AAD}"/>
    <cellStyle name="Heading2 2_ActiFijos" xfId="1843" xr:uid="{52FCD173-C9B6-456F-9C8F-3FDE237CAFFB}"/>
    <cellStyle name="Heading2 3" xfId="1844" xr:uid="{C7D72E22-152E-4272-B594-51AAFEB02282}"/>
    <cellStyle name="Heading2 3 2" xfId="1845" xr:uid="{183561A7-3A75-4161-B0F2-7B30E7EDB813}"/>
    <cellStyle name="Heading2 3 3" xfId="1846" xr:uid="{B79E1D3E-B1D8-4810-8AC0-349E0C2EE0C2}"/>
    <cellStyle name="Heading2 3 4" xfId="1847" xr:uid="{73AECED3-665C-4FF9-AADD-F235220AFAEC}"/>
    <cellStyle name="Heading2 3 5" xfId="1848" xr:uid="{957907D4-BE6B-4EB0-857D-69E53599747C}"/>
    <cellStyle name="Heading2 3 6" xfId="1849" xr:uid="{A00558BB-7391-4223-9080-9691B1C5D543}"/>
    <cellStyle name="Heading2 3 7" xfId="1850" xr:uid="{C8CC773A-2E4D-4A3A-956D-59942F123082}"/>
    <cellStyle name="Heading2 3 8" xfId="1851" xr:uid="{10A1EC56-CCC9-4D6D-BB97-4C7B22874444}"/>
    <cellStyle name="Heading2 3_ActiFijos" xfId="1852" xr:uid="{A6E15F07-F8A0-409E-B1D3-12DC1C409172}"/>
    <cellStyle name="Heading2 4" xfId="1853" xr:uid="{F2614970-4A70-4FAE-AA0B-716A08A1718D}"/>
    <cellStyle name="Heading2 4 2" xfId="1854" xr:uid="{BA0908BE-566E-45A3-B589-FF857F61C340}"/>
    <cellStyle name="Heading2 4 3" xfId="1855" xr:uid="{EDF307FC-8C17-4077-9A26-182EB1A8B1E1}"/>
    <cellStyle name="Heading2 4 4" xfId="1856" xr:uid="{26BCEDD9-9607-46A6-9F55-B238AB491FDB}"/>
    <cellStyle name="Heading2 4 5" xfId="1857" xr:uid="{22737D99-8264-4C32-891C-AC4CEB12FD94}"/>
    <cellStyle name="Heading2 4 6" xfId="1858" xr:uid="{6AE7BA24-F29A-4010-9ABE-435E63768443}"/>
    <cellStyle name="Heading2 4 7" xfId="1859" xr:uid="{55F93F2A-A1AD-4AE5-91A6-2945022D7191}"/>
    <cellStyle name="Heading2 4 8" xfId="1860" xr:uid="{BEC7E5B3-CDC5-4ADA-BF2A-413F6C3F7E59}"/>
    <cellStyle name="Heading2 4_ActiFijos" xfId="1861" xr:uid="{D3EF461F-C60F-49DC-A14B-766BDDA7A51C}"/>
    <cellStyle name="Heading2_Bases_Generales" xfId="1862" xr:uid="{DC96C380-85CC-4D94-9C16-BF1F0EB4D38B}"/>
    <cellStyle name="Hide" xfId="1863" xr:uid="{3E12C278-43C8-4856-B007-A2F1F5452B10}"/>
    <cellStyle name="Hipervínculo" xfId="3" builtinId="8"/>
    <cellStyle name="Hipervínculo 2" xfId="3731" xr:uid="{306082FB-2484-468D-8A3E-3FDD84996A08}"/>
    <cellStyle name="Hyperlink seguido_ISA TOTAL" xfId="1864" xr:uid="{64B4975B-B8A6-4629-85E1-5C6FCA366EA4}"/>
    <cellStyle name="Hyperlink_ISA TOTAL" xfId="1865" xr:uid="{21D4506C-9AB2-41B9-8C1C-A8EFF5FC9B1F}"/>
    <cellStyle name="Incorrecto 10" xfId="5073" xr:uid="{57A4C619-2AAA-47F8-A172-02FBF911211A}"/>
    <cellStyle name="Incorrecto 10 2" xfId="5074" xr:uid="{C28DCA0D-D083-4CCF-B580-1C13132306C5}"/>
    <cellStyle name="Incorrecto 11" xfId="5075" xr:uid="{2BB3A1F4-DBD9-473B-928B-4C4D7AF2B70B}"/>
    <cellStyle name="Incorrecto 11 2" xfId="5076" xr:uid="{A77C9EBB-8597-4B9D-8FE3-350703360B13}"/>
    <cellStyle name="Incorrecto 12" xfId="5077" xr:uid="{EE707644-C6C2-4286-9AA0-C2F835F239A5}"/>
    <cellStyle name="Incorrecto 12 2" xfId="5078" xr:uid="{1B7DE256-1ECB-4847-88DB-B2401B5F5EA2}"/>
    <cellStyle name="Incorrecto 13" xfId="5079" xr:uid="{51007E27-54C0-483F-A974-403CFD796F0F}"/>
    <cellStyle name="Incorrecto 13 2" xfId="5080" xr:uid="{21998032-EFEE-47B6-84EF-6E1A4DCBCF33}"/>
    <cellStyle name="Incorrecto 14" xfId="5081" xr:uid="{9E08920B-52C3-4855-93FB-95E97E97AB70}"/>
    <cellStyle name="Incorrecto 14 2" xfId="5082" xr:uid="{77588996-417A-4F06-8EBD-BC4209E502F9}"/>
    <cellStyle name="Incorrecto 15" xfId="5083" xr:uid="{E7B1B175-8484-4545-B1DB-765EBA9FCE49}"/>
    <cellStyle name="Incorrecto 15 2" xfId="5084" xr:uid="{A2C2C4BD-8323-4DC3-AD3B-D1E1C88F368F}"/>
    <cellStyle name="Incorrecto 16" xfId="5085" xr:uid="{EBB5902D-55B6-4DE5-AE74-F25BFA285C40}"/>
    <cellStyle name="Incorrecto 2" xfId="1866" xr:uid="{78D561FD-3004-4E45-921B-31702C9BFD4A}"/>
    <cellStyle name="Incorrecto 2 2" xfId="1867" xr:uid="{D92A142D-7346-4BFB-9876-46F59DF61666}"/>
    <cellStyle name="Incorrecto 2 2 2" xfId="5086" xr:uid="{6C67562E-28C9-482B-8EA8-4C446BE641F6}"/>
    <cellStyle name="Incorrecto 2 2 3" xfId="5087" xr:uid="{F1878609-5099-448C-B682-2E451FCCE036}"/>
    <cellStyle name="Incorrecto 2 2 4" xfId="5088" xr:uid="{72F90C08-0141-44B3-8FF8-25B220FA6BA0}"/>
    <cellStyle name="Incorrecto 2 2 4 2" xfId="5089" xr:uid="{A2923110-FF99-443A-A999-49005520A550}"/>
    <cellStyle name="Incorrecto 2 3" xfId="5090" xr:uid="{1551B035-262A-4E49-AF50-71298298ABAB}"/>
    <cellStyle name="Incorrecto 2 4" xfId="5091" xr:uid="{AC252860-08C0-439D-ABD3-CFED3D584606}"/>
    <cellStyle name="Incorrecto 2 4 2" xfId="5092" xr:uid="{FA51B16C-1B52-4EB1-BC43-4A5D7FC7DF13}"/>
    <cellStyle name="Incorrecto 2 5" xfId="5093" xr:uid="{9565822A-5AE5-4027-B147-2FDEBFB80A16}"/>
    <cellStyle name="Incorrecto 2_Deuda septiembre_marcos" xfId="1868" xr:uid="{319EA389-FBE7-4280-873C-2BBE93A949E4}"/>
    <cellStyle name="Incorrecto 3" xfId="3421" xr:uid="{49EE4D5B-B9DE-4A42-8B1B-2E5838FA75B7}"/>
    <cellStyle name="Incorrecto 3 2" xfId="5094" xr:uid="{5FF76CC0-C0EF-482B-BF11-E128888952E5}"/>
    <cellStyle name="Incorrecto 3 3" xfId="5095" xr:uid="{B61135CA-22D6-4831-9853-16356CBBFF52}"/>
    <cellStyle name="Incorrecto 4" xfId="5096" xr:uid="{12C6A9A8-3909-4DA4-9E4A-E394F0E8A0AE}"/>
    <cellStyle name="Incorrecto 4 2" xfId="5097" xr:uid="{1EA68AFA-9F74-4380-9FBA-8C379499B9AF}"/>
    <cellStyle name="Incorrecto 4 3" xfId="5098" xr:uid="{D0C6095F-5E88-4064-8D1E-6414B6395538}"/>
    <cellStyle name="Incorrecto 5" xfId="5099" xr:uid="{7B58BD45-08F9-4EA4-896B-17124541B1BD}"/>
    <cellStyle name="Incorrecto 5 2" xfId="5100" xr:uid="{A1013CE7-49FF-4B74-8809-04C70CF8394E}"/>
    <cellStyle name="Incorrecto 6" xfId="5101" xr:uid="{49F44BE4-C3BF-48F5-8217-3655BBA028CD}"/>
    <cellStyle name="Incorrecto 6 2" xfId="5102" xr:uid="{EBABA03A-B60C-4CA6-B321-D2E352E49BF9}"/>
    <cellStyle name="Incorrecto 7" xfId="5103" xr:uid="{3953C14B-3284-4ABB-8932-E3D3CEAB3C05}"/>
    <cellStyle name="Incorrecto 7 2" xfId="5104" xr:uid="{152741E5-53DD-496C-AC32-EB0540233AC0}"/>
    <cellStyle name="Incorrecto 8" xfId="5105" xr:uid="{A055323A-1775-426D-B5BF-A6C37F3E2CCD}"/>
    <cellStyle name="Incorrecto 8 2" xfId="5106" xr:uid="{4AC01CD5-7333-4764-9502-101619936939}"/>
    <cellStyle name="Incorrecto 9" xfId="5107" xr:uid="{92DEEDF4-5E5C-4B6E-9022-93407B5A3C38}"/>
    <cellStyle name="Incorrecto 9 2" xfId="5108" xr:uid="{236CE401-8201-44BB-BF7A-5385B34E1A02}"/>
    <cellStyle name="Incorreto" xfId="1869" xr:uid="{7216691A-263F-447B-86F0-FEE06AECC3C3}"/>
    <cellStyle name="Indefinido" xfId="1870" xr:uid="{844C2AD8-BAC6-4A4C-8D3B-283ACA9DB360}"/>
    <cellStyle name="Input [yellow]" xfId="1871" xr:uid="{2855A074-9DBE-4B33-ABEB-8BAA65C0BEB4}"/>
    <cellStyle name="Input [yellow] 10" xfId="1872" xr:uid="{09D20FD6-EAC8-4CC7-B981-AD20F4D1FE8C}"/>
    <cellStyle name="Input [yellow] 10 2" xfId="1873" xr:uid="{CDC6741D-F471-42BC-A1DF-287AB7F32712}"/>
    <cellStyle name="Input [yellow] 11" xfId="1874" xr:uid="{7CB7254C-F97B-4F45-8D99-FDB7D2AE263D}"/>
    <cellStyle name="Input [yellow] 12" xfId="1875" xr:uid="{94D83E4B-359D-47C2-9050-C8E62B9DE760}"/>
    <cellStyle name="Input [yellow] 13" xfId="1876" xr:uid="{34FBF85A-9558-4B36-BBB1-81B3B72A8AB4}"/>
    <cellStyle name="Input [yellow] 2" xfId="1877" xr:uid="{833FF118-D473-4888-B2C6-2ADE73DEC7D2}"/>
    <cellStyle name="Input [yellow] 2 2" xfId="1878" xr:uid="{8F19CC82-B59D-4D7E-AE6D-BCEA72903E7F}"/>
    <cellStyle name="Input [yellow] 2 2 2" xfId="1879" xr:uid="{EEC0103E-B91E-414D-8E94-CDB845CFAA38}"/>
    <cellStyle name="Input [yellow] 2 2 3" xfId="1880" xr:uid="{BF53A977-6F01-46BC-928F-54517BD8B7D0}"/>
    <cellStyle name="Input [yellow] 2 3" xfId="1881" xr:uid="{12AE0F80-715D-43F6-B65A-9F8C5A4696FE}"/>
    <cellStyle name="Input [yellow] 2 4" xfId="1882" xr:uid="{02DAB043-D468-48DE-AD93-DEE88CD1F0AC}"/>
    <cellStyle name="Input [yellow] 2_PPT Final" xfId="1883" xr:uid="{82CEBEF6-8578-4148-918C-B7FA47E8048E}"/>
    <cellStyle name="Input [yellow] 3" xfId="1884" xr:uid="{5D820193-80B6-477D-BAFB-E65AD01A22D4}"/>
    <cellStyle name="Input [yellow] 3 2" xfId="1885" xr:uid="{DA190BF7-6719-47CD-BA97-4062E2FF120D}"/>
    <cellStyle name="Input [yellow] 3 2 2" xfId="1886" xr:uid="{1DF6B7D9-6EED-4356-8543-FD08CC6370A2}"/>
    <cellStyle name="Input [yellow] 3 2 3" xfId="1887" xr:uid="{B7A7DAE8-DC9F-41F3-B290-61EE7216AF1B}"/>
    <cellStyle name="Input [yellow] 3 3" xfId="1888" xr:uid="{2791F1F0-9364-4436-9AAE-B133A956D615}"/>
    <cellStyle name="Input [yellow] 3 4" xfId="1889" xr:uid="{E94D7DCC-425B-4491-B68A-0F036DE79C39}"/>
    <cellStyle name="Input [yellow] 3_PPT Final" xfId="1890" xr:uid="{73C799B9-A11C-492A-B91D-0456939500B6}"/>
    <cellStyle name="Input [yellow] 4" xfId="1891" xr:uid="{04D18AAC-AAF0-4557-A4AA-2232251A486A}"/>
    <cellStyle name="Input [yellow] 4 2" xfId="1892" xr:uid="{13186395-5D4A-4317-A850-587A1CA8B3B0}"/>
    <cellStyle name="Input [yellow] 4 2 2" xfId="1893" xr:uid="{1C97A6C9-ABF0-42AF-9316-551A42B64531}"/>
    <cellStyle name="Input [yellow] 4 2 3" xfId="1894" xr:uid="{A1ACA39A-E2EF-44EA-A55B-A2544459CC36}"/>
    <cellStyle name="Input [yellow] 4 3" xfId="1895" xr:uid="{1E1BF4FC-1B62-467D-900F-0090BF30BE7F}"/>
    <cellStyle name="Input [yellow] 4 4" xfId="1896" xr:uid="{39D8F848-AE86-4186-BA93-7BF20156AC01}"/>
    <cellStyle name="Input [yellow] 4_PPT Final" xfId="1897" xr:uid="{234C27BB-5569-492C-8139-F97D9EFC63D8}"/>
    <cellStyle name="Input [yellow] 5" xfId="1898" xr:uid="{75475C17-DAC0-458C-89B8-A307572845FF}"/>
    <cellStyle name="Input [yellow] 5 2" xfId="1899" xr:uid="{FE8483C0-6088-42B9-A8F8-CF9EE1E82B1A}"/>
    <cellStyle name="Input [yellow] 5 2 2" xfId="1900" xr:uid="{F444DE7B-8C65-4594-BB6D-7D482D6DA430}"/>
    <cellStyle name="Input [yellow] 5 2 3" xfId="1901" xr:uid="{B463F714-9D46-4E89-805B-E0023FE3B346}"/>
    <cellStyle name="Input [yellow] 5 3" xfId="1902" xr:uid="{5E8F0E4B-8CF1-480A-83E4-790969B62D6E}"/>
    <cellStyle name="Input [yellow] 5 4" xfId="1903" xr:uid="{C87D3C76-7F87-4EC7-A636-479F6765F262}"/>
    <cellStyle name="Input [yellow] 5_PPT Final" xfId="1904" xr:uid="{E01D2A09-24EC-48ED-96F9-43F392362B48}"/>
    <cellStyle name="Input [yellow] 6" xfId="1905" xr:uid="{ED1059A6-37E0-4452-94AB-DBC2484AE865}"/>
    <cellStyle name="Input [yellow] 6 2" xfId="1906" xr:uid="{9083C79E-A866-43E0-BB41-1D0255D198F5}"/>
    <cellStyle name="Input [yellow] 6 2 2" xfId="1907" xr:uid="{25FAC49B-C530-47C7-A026-E81E25DDB07F}"/>
    <cellStyle name="Input [yellow] 6 2 3" xfId="1908" xr:uid="{F82061CD-74DD-494A-A323-708BDE44CEC4}"/>
    <cellStyle name="Input [yellow] 6 3" xfId="1909" xr:uid="{B20A6AA5-301E-452D-BEE5-48DCEE419CD1}"/>
    <cellStyle name="Input [yellow] 6 4" xfId="1910" xr:uid="{7600B141-128B-4363-93E2-CB3B59DB10CF}"/>
    <cellStyle name="Input [yellow] 6_PPT Final" xfId="1911" xr:uid="{109D75BB-018B-48F1-BFAE-D370F431E9AA}"/>
    <cellStyle name="Input [yellow] 7" xfId="1912" xr:uid="{E5B88FBA-CE5D-4F04-A561-641D1012680B}"/>
    <cellStyle name="Input [yellow] 7 2" xfId="1913" xr:uid="{A67EE677-830D-409C-B945-C78FF12E5B50}"/>
    <cellStyle name="Input [yellow] 7 2 2" xfId="1914" xr:uid="{9A9A9C25-9501-4EED-A378-26218F230FFA}"/>
    <cellStyle name="Input [yellow] 7 2 3" xfId="1915" xr:uid="{A0359ECE-4D21-4CE1-B40B-71E096F10FA7}"/>
    <cellStyle name="Input [yellow] 7 3" xfId="1916" xr:uid="{27C55F52-5E84-40C8-AAEE-5CE3089FBABC}"/>
    <cellStyle name="Input [yellow] 7 4" xfId="1917" xr:uid="{77BE20C4-E0BD-4BD0-B301-AFA136304C22}"/>
    <cellStyle name="Input [yellow] 7_PPT Final" xfId="1918" xr:uid="{D3A7594D-2215-4E23-A956-B3563451BAD3}"/>
    <cellStyle name="Input [yellow] 8" xfId="1919" xr:uid="{A1448175-436A-4AF5-A47C-66742612BA79}"/>
    <cellStyle name="Input [yellow] 8 2" xfId="1920" xr:uid="{7EF88CAF-D9BD-48E9-85B3-F084A83C1D40}"/>
    <cellStyle name="Input [yellow] 8 3" xfId="1921" xr:uid="{8FADFF23-5959-4E72-B6DD-A65E997C59AE}"/>
    <cellStyle name="Input [yellow] 9" xfId="1922" xr:uid="{05A2AF34-4844-4663-AF0D-F6EC96490D7F}"/>
    <cellStyle name="Input [yellow] 9 2" xfId="1923" xr:uid="{64C629B4-07E9-438B-A99F-89BAD0407F23}"/>
    <cellStyle name="Input [yellow] 9 3" xfId="1924" xr:uid="{B54FA384-31BD-4C8D-BAA5-14FC055CC2E5}"/>
    <cellStyle name="Input [yellow]_ActiFijos" xfId="1925" xr:uid="{543FB1C9-B312-4F80-A40E-9F59E6617D59}"/>
    <cellStyle name="INPUTS" xfId="3422" xr:uid="{A8F81CC6-FBD3-4A98-85A0-CDBA727FFF3E}"/>
    <cellStyle name="lista 3" xfId="1926" xr:uid="{9318557D-655A-45E7-BF80-D6953E36F31F}"/>
    <cellStyle name="Millares" xfId="11" builtinId="3"/>
    <cellStyle name="Millares [0,1]" xfId="1927" xr:uid="{33D557D9-3629-4FC4-ACD5-9D4DCCD258D7}"/>
    <cellStyle name="Millares [0,1] 2" xfId="1928" xr:uid="{0E72D2D5-FB3A-4B6F-A343-7414EB7533DE}"/>
    <cellStyle name="Millares [0,1] 2 2" xfId="1929" xr:uid="{A0E4361C-9022-46A8-90B6-BC8A82FBDAB6}"/>
    <cellStyle name="Millares [0,1] 2 3" xfId="1930" xr:uid="{3057A0B4-F4F1-4091-B3D4-0F90D9DAA912}"/>
    <cellStyle name="Millares [0,1] 2_Deuda septiembre_marcos" xfId="3423" xr:uid="{533CBD3D-4434-468E-A3DF-314B9B1B9F52}"/>
    <cellStyle name="Millares [0,1] 3" xfId="1931" xr:uid="{ED0CBBF4-4101-4DED-8A36-E8DEE7F8F09D}"/>
    <cellStyle name="Millares [0,1] 3 2" xfId="1932" xr:uid="{BCA3E7C7-D05F-4339-9A2F-60D6A759BD03}"/>
    <cellStyle name="Millares [0,1] 3_Deuda septiembre_marcos" xfId="3424" xr:uid="{AE36A4AF-69B2-4C57-AEB3-85D5D6B8885B}"/>
    <cellStyle name="Millares [0,1] 4" xfId="1933" xr:uid="{2E6AD4FC-BC71-44B9-883C-19F5969ADA23}"/>
    <cellStyle name="Millares [0,1] 5" xfId="1934" xr:uid="{A5C04165-2309-450F-8BA2-F45BDFB7204C}"/>
    <cellStyle name="Millares [0,1] 6" xfId="1935" xr:uid="{6864A5FC-2E6A-4F6B-806A-A9BA6F2F58BC}"/>
    <cellStyle name="Millares [0,1]_Bases_Generales" xfId="1936" xr:uid="{150ABDED-E3E8-4BA0-82EB-DCC03EB3B9F8}"/>
    <cellStyle name="Millares [0.0]" xfId="1937" xr:uid="{56B0EBC8-ECBF-4256-871A-5FE6C970DBE4}"/>
    <cellStyle name="Millares [0.0] 2" xfId="1938" xr:uid="{AFABD765-7B75-4C33-8A42-0B8848421E8C}"/>
    <cellStyle name="Millares [0.0] 2 2" xfId="1939" xr:uid="{D7AE2747-E51B-4290-B384-CF4A2F1A5471}"/>
    <cellStyle name="Millares [0.0] 2 3" xfId="1940" xr:uid="{041B952A-A39E-4FD5-89E8-7E32FF396CA3}"/>
    <cellStyle name="Millares [0.0] 2_Deuda septiembre_marcos" xfId="3425" xr:uid="{A6F7738C-B359-45AD-AC31-7D7FF6B1A61C}"/>
    <cellStyle name="Millares [0.0] 3" xfId="1941" xr:uid="{FC246E20-B633-4FCA-8CEA-14B6D2652D36}"/>
    <cellStyle name="Millares [0.0] 3 2" xfId="1942" xr:uid="{330AFA72-8C27-4CD9-A972-7F01BC899CE5}"/>
    <cellStyle name="Millares [0.0] 3_Deuda septiembre_marcos" xfId="3426" xr:uid="{39737016-F503-4588-9731-04385F9BF317}"/>
    <cellStyle name="Millares [0.0] 4" xfId="1943" xr:uid="{C91E1F67-4040-4609-B1D0-B9F987926D43}"/>
    <cellStyle name="Millares [0.0] 5" xfId="1944" xr:uid="{3118FCD0-8314-4D81-864C-A5D5AAA933F6}"/>
    <cellStyle name="Millares [0.0] 6" xfId="1945" xr:uid="{FB445A42-C3D6-4B71-8E0A-9C2D99BDD61B}"/>
    <cellStyle name="Millares [0.0]_Bases_Generales" xfId="1946" xr:uid="{103720FE-172B-4C8D-AB62-601AB3903953}"/>
    <cellStyle name="Millares [0.1]" xfId="1947" xr:uid="{B333C617-A96F-4E69-BFEA-16088DEE6389}"/>
    <cellStyle name="Millares [0.1] 2" xfId="1948" xr:uid="{8F5BCB3A-9A28-43BE-B665-9608202D3388}"/>
    <cellStyle name="Millares [0.1] 2 2" xfId="1949" xr:uid="{92CB23E8-B2F3-449E-BD2E-6FEAF4AB929B}"/>
    <cellStyle name="Millares [0.1] 2 3" xfId="1950" xr:uid="{AF853C7C-4F93-41CA-9DBB-F1809FD2CBA5}"/>
    <cellStyle name="Millares [0.1] 2_Deuda septiembre_marcos" xfId="3427" xr:uid="{C6DDA3DE-3CB9-4474-9505-F9C935E2D725}"/>
    <cellStyle name="Millares [0.1] 3" xfId="1951" xr:uid="{CECECC26-84C6-423A-9A43-160D3D4796F0}"/>
    <cellStyle name="Millares [0.1] 3 2" xfId="1952" xr:uid="{D33CFBE9-AED0-41BE-BF4B-46BB45341A3C}"/>
    <cellStyle name="Millares [0.1] 3_Deuda septiembre_marcos" xfId="3428" xr:uid="{B376B3DB-832C-49F6-A425-3D776071AAF0}"/>
    <cellStyle name="Millares [0.1] 4" xfId="1953" xr:uid="{94E28449-F0A0-4F1B-B2A6-593C31506B81}"/>
    <cellStyle name="Millares [0.1] 5" xfId="1954" xr:uid="{4808BD64-CAFD-4C1A-8208-EBF287C6C239}"/>
    <cellStyle name="Millares [0.1] 6" xfId="1955" xr:uid="{47A8FD4C-203C-43DD-9023-1BFB7D4B7FAC}"/>
    <cellStyle name="Millares [0.1]_Bases_Generales" xfId="1956" xr:uid="{1E45C922-BFAD-48A8-B3C7-29937B6BE6DA}"/>
    <cellStyle name="Millares [0] 11" xfId="7876" xr:uid="{03A2D8F4-BB69-4E86-8D1E-412E12CB68AF}"/>
    <cellStyle name="Millares [0] 2" xfId="7" xr:uid="{628AF2D5-3DD3-418F-AC7A-ED1EC554E39C}"/>
    <cellStyle name="Millares [0] 2 10" xfId="7226" xr:uid="{7D87C3B0-ED03-446A-A5F4-B8396CEA64BF}"/>
    <cellStyle name="Millares [0] 2 2" xfId="85" xr:uid="{B270667C-B044-4CFB-8A32-E1E9BC60E622}"/>
    <cellStyle name="Millares [0] 2 2 2" xfId="6726" xr:uid="{7B424612-0506-4580-89A0-0FF951EFD857}"/>
    <cellStyle name="Millares [0] 2 2 2 2" xfId="6892" xr:uid="{119DE187-DAD2-4161-9FA3-42374005DEF0}"/>
    <cellStyle name="Millares [0] 2 2 2 2 2" xfId="7215" xr:uid="{F5721757-39EC-408B-A610-3F35CAE0E700}"/>
    <cellStyle name="Millares [0] 2 2 2 2 2 2" xfId="7856" xr:uid="{3CE33159-A74B-4947-8003-82DEC31A71A1}"/>
    <cellStyle name="Millares [0] 2 2 2 2 3" xfId="7533" xr:uid="{9E298B96-EFD5-4C12-9AE4-9E17EF7143C2}"/>
    <cellStyle name="Millares [0] 2 2 2 3" xfId="7049" xr:uid="{BC3A60AC-8CFB-4A35-9EC9-E6A85C1284F0}"/>
    <cellStyle name="Millares [0] 2 2 2 3 2" xfId="7690" xr:uid="{43663E2E-D050-4CB8-AB1A-614EE31B8C6E}"/>
    <cellStyle name="Millares [0] 2 2 2 4" xfId="7367" xr:uid="{92124539-5886-4841-BBDB-429526FA0DF9}"/>
    <cellStyle name="Millares [0] 2 2 3" xfId="5109" xr:uid="{E236E965-49B3-4062-8239-D1612956945B}"/>
    <cellStyle name="Millares [0] 2 2 4" xfId="6734" xr:uid="{A022BED5-C872-4674-B3B4-4F5EF1A921A2}"/>
    <cellStyle name="Millares [0] 2 2 4 2" xfId="7057" xr:uid="{0AC353AA-8C9F-431B-812A-794BC148063C}"/>
    <cellStyle name="Millares [0] 2 2 4 2 2" xfId="7698" xr:uid="{E1CD08F9-1BF6-478D-9873-32B1C8807D8A}"/>
    <cellStyle name="Millares [0] 2 2 4 3" xfId="7375" xr:uid="{038A87BA-644F-4527-923C-321369D63F26}"/>
    <cellStyle name="Millares [0] 2 2 5" xfId="6908" xr:uid="{3596B1F7-A576-4FCC-9F52-5A94674EE883}"/>
    <cellStyle name="Millares [0] 2 2 5 2" xfId="7549" xr:uid="{1E1DA38B-EBB9-49B1-959E-A93AB0DDB820}"/>
    <cellStyle name="Millares [0] 2 2 6" xfId="7228" xr:uid="{EEFCEE2E-A1E6-46D5-A768-3720E35C495B}"/>
    <cellStyle name="Millares [0] 2 3" xfId="6716" xr:uid="{EB385D09-E663-451F-BB74-791EE8FB5E59}"/>
    <cellStyle name="Millares [0] 2 3 2" xfId="6883" xr:uid="{A9C2A682-FFA0-4E04-9602-F5ABDB89B56B}"/>
    <cellStyle name="Millares [0] 2 3 2 2" xfId="7206" xr:uid="{B4DBB9AF-7C91-48E1-9621-4BE36D3564AC}"/>
    <cellStyle name="Millares [0] 2 3 2 2 2" xfId="7847" xr:uid="{45D3ADEF-2FE9-42D8-A807-546F13B5C714}"/>
    <cellStyle name="Millares [0] 2 3 2 3" xfId="7524" xr:uid="{E7864B40-7D05-4949-BD05-47788A8B64CA}"/>
    <cellStyle name="Millares [0] 2 3 3" xfId="7040" xr:uid="{4E419C02-D848-4891-AB30-548C32093880}"/>
    <cellStyle name="Millares [0] 2 3 3 2" xfId="7681" xr:uid="{0C7C35AB-A4ED-477A-81CC-3CE693080BEF}"/>
    <cellStyle name="Millares [0] 2 3 4" xfId="7358" xr:uid="{385EE10C-0E7F-4756-9341-875D8B186A18}"/>
    <cellStyle name="Millares [0] 2 4" xfId="6723" xr:uid="{EBD4CFED-A54F-4807-943C-F92AE4CCD312}"/>
    <cellStyle name="Millares [0] 2 4 2" xfId="6889" xr:uid="{F74E00E2-0ADE-4B1C-BB5B-F0DD6BBAE2C4}"/>
    <cellStyle name="Millares [0] 2 4 2 2" xfId="7212" xr:uid="{C8E12671-04B6-46B1-835F-03F8621ED48F}"/>
    <cellStyle name="Millares [0] 2 4 2 2 2" xfId="7853" xr:uid="{EDE19E25-3924-4493-8E85-194EA12B0B04}"/>
    <cellStyle name="Millares [0] 2 4 2 3" xfId="7530" xr:uid="{EE8275EE-F021-4002-A11B-04D766A39749}"/>
    <cellStyle name="Millares [0] 2 4 3" xfId="7046" xr:uid="{3C8516D6-A166-445B-97FA-EB9496DF0217}"/>
    <cellStyle name="Millares [0] 2 4 3 2" xfId="7687" xr:uid="{208A57AC-8247-4D31-AFD2-60106DDD4BC7}"/>
    <cellStyle name="Millares [0] 2 4 4" xfId="7364" xr:uid="{3052A6EC-CBA0-4F07-B4FA-A7F6198F716C}"/>
    <cellStyle name="Millares [0] 2 5" xfId="1957" xr:uid="{CF2517E0-5751-4C29-85C8-A9135C10DDFF}"/>
    <cellStyle name="Millares [0] 2 6" xfId="6732" xr:uid="{A52D0C0F-879C-434B-85B0-361DD2FB9CAA}"/>
    <cellStyle name="Millares [0] 2 6 2" xfId="7055" xr:uid="{77891028-FD21-4581-8735-E4FBB97B481C}"/>
    <cellStyle name="Millares [0] 2 6 2 2" xfId="7696" xr:uid="{D691F640-C1C2-446E-8D52-2B883751292C}"/>
    <cellStyle name="Millares [0] 2 6 3" xfId="7373" xr:uid="{1306AEB0-C253-4BC3-9B13-46722D6D8260}"/>
    <cellStyle name="Millares [0] 2 7" xfId="6896" xr:uid="{6F01D839-4A9F-47D3-B37C-9581CDDCBD5D}"/>
    <cellStyle name="Millares [0] 2 7 2" xfId="7537" xr:uid="{EA0B39E1-8C91-4F0C-BB2F-414AB4B1812F}"/>
    <cellStyle name="Millares [0] 2 8" xfId="6906" xr:uid="{3FC49C0B-AECC-4465-862E-6D02E9A77619}"/>
    <cellStyle name="Millares [0] 2 8 2" xfId="7547" xr:uid="{D57653BB-5A73-4208-98F7-2EAE68A963A8}"/>
    <cellStyle name="Millares [0] 2 9" xfId="82" xr:uid="{12631507-3C95-4116-B241-B484509333CD}"/>
    <cellStyle name="Millares [0] 3" xfId="80" xr:uid="{EB6A2D9B-5CD4-498A-B761-2F3DBFEC20FD}"/>
    <cellStyle name="Millares [0] 3 2" xfId="6721" xr:uid="{407072A6-CE14-4560-8CD1-AADDD62AD99F}"/>
    <cellStyle name="Millares [0] 3 2 2" xfId="6887" xr:uid="{AE134679-77D9-4B00-9389-AA85A8C35E18}"/>
    <cellStyle name="Millares [0] 3 2 2 2" xfId="7210" xr:uid="{58961C29-57FE-4B80-9012-EF5C714D1DC3}"/>
    <cellStyle name="Millares [0] 3 2 2 2 2" xfId="7851" xr:uid="{32595A91-13D0-4F8B-8CBF-64B2C161C595}"/>
    <cellStyle name="Millares [0] 3 2 2 3" xfId="7528" xr:uid="{9BA4323F-0FE4-4C57-94F7-C0AC003084C0}"/>
    <cellStyle name="Millares [0] 3 2 3" xfId="7044" xr:uid="{FA9DE098-316C-40D2-B3ED-E31F511ED5F6}"/>
    <cellStyle name="Millares [0] 3 2 3 2" xfId="7685" xr:uid="{5032D8D6-643C-4D04-B451-20DE4BB52368}"/>
    <cellStyle name="Millares [0] 3 2 4" xfId="7362" xr:uid="{89EF7A60-66AB-4E54-89A7-5C4BDB555630}"/>
    <cellStyle name="Millares [0] 3 3" xfId="6714" xr:uid="{1608366B-F83B-41E4-AD26-F367A3DAA711}"/>
    <cellStyle name="Millares [0] 3 3 2" xfId="6881" xr:uid="{808AEC50-222F-45A7-9F9D-CB7166F1BEAA}"/>
    <cellStyle name="Millares [0] 3 3 2 2" xfId="7204" xr:uid="{9A1A29EA-EFBE-4BC1-8816-DCA0C0359FE4}"/>
    <cellStyle name="Millares [0] 3 3 2 2 2" xfId="7845" xr:uid="{65FB12F6-AE9C-4578-AB1B-A2CC5156C8B7}"/>
    <cellStyle name="Millares [0] 3 3 2 3" xfId="7522" xr:uid="{BF586DE1-E1C0-4C20-8AB5-D7B91B33758D}"/>
    <cellStyle name="Millares [0] 3 3 3" xfId="7038" xr:uid="{E61EC8C7-3866-45BE-AF58-04A23D731266}"/>
    <cellStyle name="Millares [0] 3 3 3 2" xfId="7679" xr:uid="{8C73D9B1-6C13-435A-AD2B-9E988D3748A6}"/>
    <cellStyle name="Millares [0] 3 3 4" xfId="7356" xr:uid="{242DAA92-E551-4FC1-AF12-89FA3934723C}"/>
    <cellStyle name="Millares [0] 3 4" xfId="6730" xr:uid="{08E95EDA-41C7-4071-82B3-90D9A834F214}"/>
    <cellStyle name="Millares [0] 3 4 2" xfId="7053" xr:uid="{E7ECDE2D-06AF-4A26-BFF7-DEAA1643A170}"/>
    <cellStyle name="Millares [0] 3 4 2 2" xfId="7694" xr:uid="{8003D3FD-A99A-4345-A553-4CDF4510B52F}"/>
    <cellStyle name="Millares [0] 3 4 3" xfId="7371" xr:uid="{971481A3-8227-49B7-8C9F-97903AA57ECA}"/>
    <cellStyle name="Millares [0] 3 5" xfId="6904" xr:uid="{60DDB6F0-6BF1-42DF-86C2-9E7608C825BD}"/>
    <cellStyle name="Millares [0] 3 5 2" xfId="7545" xr:uid="{D729BCE1-A7CA-4D80-86E3-621AEF3B89FC}"/>
    <cellStyle name="Millares [0] 3 6" xfId="7224" xr:uid="{CB96D5DD-E9CD-4FED-B399-01CB18C6A1F2}"/>
    <cellStyle name="Millares [0] 4" xfId="84" xr:uid="{F96F5DB0-2D3B-42F6-BBEA-B80B7F1085D7}"/>
    <cellStyle name="Millares [0] 4 2" xfId="6725" xr:uid="{CBD9B427-EFEC-40C1-9B64-2D7C1F4E84DF}"/>
    <cellStyle name="Millares [0] 4 2 2" xfId="6891" xr:uid="{E060ED21-77DD-472F-853F-FAF89C17CE6F}"/>
    <cellStyle name="Millares [0] 4 2 2 2" xfId="7214" xr:uid="{D6D601B4-B4BE-4A2C-8894-16C263D9291F}"/>
    <cellStyle name="Millares [0] 4 2 2 2 2" xfId="7855" xr:uid="{7A679996-E39C-49FA-9BA6-DB9207764735}"/>
    <cellStyle name="Millares [0] 4 2 2 3" xfId="7532" xr:uid="{849EC226-3DAE-49E2-82FB-1159E4C8A05B}"/>
    <cellStyle name="Millares [0] 4 2 3" xfId="7048" xr:uid="{FD3B209C-70AC-480B-8F99-AF62E3620816}"/>
    <cellStyle name="Millares [0] 4 2 3 2" xfId="7689" xr:uid="{29E9CAF6-8E2B-4DCF-BDBD-AAFC7FBD5FF2}"/>
    <cellStyle name="Millares [0] 4 2 4" xfId="7366" xr:uid="{6FB4D336-B924-4E7B-A9A4-AB7BC901EC43}"/>
    <cellStyle name="Millares [0] 4 3" xfId="6733" xr:uid="{684411BA-069B-4D10-8D4D-C0B36AC31B25}"/>
    <cellStyle name="Millares [0] 4 3 2" xfId="7056" xr:uid="{08D3957B-5FFD-4196-A861-5098F6990BDD}"/>
    <cellStyle name="Millares [0] 4 3 2 2" xfId="7697" xr:uid="{64F73A80-15AD-4399-99B8-5F37E4CFB089}"/>
    <cellStyle name="Millares [0] 4 3 3" xfId="7374" xr:uid="{040F8A1E-76FC-4D69-9E1D-0AC96F6150A9}"/>
    <cellStyle name="Millares [0] 4 4" xfId="6907" xr:uid="{F8769507-CA43-4CE4-8272-72BAE82ADADF}"/>
    <cellStyle name="Millares [0] 4 4 2" xfId="7548" xr:uid="{46CBF09A-470B-4336-ACCE-5A6DB854CA3F}"/>
    <cellStyle name="Millares [0] 4 5" xfId="7227" xr:uid="{2113B386-958B-4C26-A5E5-05E1486AD7E6}"/>
    <cellStyle name="Millares [0] 5" xfId="6705" xr:uid="{0B592844-1CC3-4B2E-B7DC-CA490209AF25}"/>
    <cellStyle name="Millares [0] 5 2" xfId="6874" xr:uid="{37E841A9-5DE2-460E-834D-0AC70758EF02}"/>
    <cellStyle name="Millares [0] 5 2 2" xfId="7197" xr:uid="{E34DB62A-45FF-47E7-A5C7-B2BEAA3A4DC9}"/>
    <cellStyle name="Millares [0] 5 2 2 2" xfId="7838" xr:uid="{8D52240A-0190-4146-ADB9-6559A2F8FAA0}"/>
    <cellStyle name="Millares [0] 5 2 3" xfId="7515" xr:uid="{E4A385FC-A0EC-49BF-86DE-7369E628CD23}"/>
    <cellStyle name="Millares [0] 5 3" xfId="7031" xr:uid="{F37932A8-0B1F-4BDA-9EC7-F79F15AC63E1}"/>
    <cellStyle name="Millares [0] 5 3 2" xfId="7672" xr:uid="{FEADC1C8-3C4C-4B98-8803-11E1437D6AFB}"/>
    <cellStyle name="Millares [0] 5 4" xfId="7349" xr:uid="{1DD88CEA-7A0F-4004-B6D6-18E88464E50E}"/>
    <cellStyle name="Millares [0] 6" xfId="6897" xr:uid="{E82BA17B-A5C6-4ED5-8CC6-83D5D0E967A4}"/>
    <cellStyle name="Millares [0] 6 2" xfId="7538" xr:uid="{60A7270C-8252-4562-BC65-36EB8BB52DC7}"/>
    <cellStyle name="Millares [0] 7" xfId="20" xr:uid="{B25B73B3-2970-4571-AC0E-76A556B9D7EE}"/>
    <cellStyle name="Millares [1]" xfId="1958" xr:uid="{7DAC7BEF-F110-47F4-BF16-42703E1133F5}"/>
    <cellStyle name="Millares [1] 2" xfId="1959" xr:uid="{EB967C68-DAE8-4B56-B900-7FC7A7E0569B}"/>
    <cellStyle name="Millares [1] 2 2" xfId="1960" xr:uid="{4EFCB134-84E0-4FE8-97E9-C39079CECCD0}"/>
    <cellStyle name="Millares [1] 2 3" xfId="1961" xr:uid="{86F7CCF5-2DFC-44E4-923D-9162DF6C534C}"/>
    <cellStyle name="Millares [1] 3" xfId="1962" xr:uid="{E97DD888-919D-4867-9EDB-521DF8CB3B10}"/>
    <cellStyle name="Millares [1] 3 2" xfId="1963" xr:uid="{BEBD58DE-AC12-4EB8-84AD-C0BC756DA27C}"/>
    <cellStyle name="Millares [1] 4" xfId="1964" xr:uid="{39C7A494-14E2-4C07-9F77-ACC0D2963187}"/>
    <cellStyle name="Millares [1] 4 2" xfId="1965" xr:uid="{4111CCC3-3DD2-4062-B91A-1982FE5F259C}"/>
    <cellStyle name="Millares [1] 5" xfId="1966" xr:uid="{71A34E9B-AC1D-42B8-8586-A1F23CCD8B66}"/>
    <cellStyle name="Millares [1] 6" xfId="1967" xr:uid="{04E31199-D7B2-4697-80C6-86F29C1D78EC}"/>
    <cellStyle name="Millares [1]_Cuadros Excel  kilometros 2008" xfId="1968" xr:uid="{D635D492-08CE-4CBA-B1DE-774BCDA4BE95}"/>
    <cellStyle name="Millares [2]" xfId="1969" xr:uid="{E77AD4E2-FCAD-4691-9862-1DB6C41D2D70}"/>
    <cellStyle name="Millares [2] 2" xfId="1970" xr:uid="{431B7F9D-2D95-4CBC-84DF-B59E176BC826}"/>
    <cellStyle name="Millares [2] 2 2" xfId="1971" xr:uid="{0E2EA204-7DA0-4664-9805-D7DB6DDDFB33}"/>
    <cellStyle name="Millares [2] 2 3" xfId="1972" xr:uid="{34BC84AD-7042-4846-B0A7-8BDBDAB71DFA}"/>
    <cellStyle name="Millares [2] 2_Deuda septiembre_marcos" xfId="3429" xr:uid="{AC0B0F80-6C8F-47E1-A141-C4AF12903240}"/>
    <cellStyle name="Millares [2] 3" xfId="1973" xr:uid="{F909EAAC-984E-4592-9813-84DEE5B5E4BA}"/>
    <cellStyle name="Millares [2] 3 2" xfId="1974" xr:uid="{7D4CC4A8-A4CC-420C-84F3-9F0A646302A9}"/>
    <cellStyle name="Millares [2] 3_Deuda septiembre_marcos" xfId="3430" xr:uid="{939EEB26-3790-4292-A35E-DFD930390B67}"/>
    <cellStyle name="Millares [2] 4" xfId="1975" xr:uid="{56BE99F3-5E3B-47FA-9B87-88FB2D83C3D8}"/>
    <cellStyle name="Millares [2] 5" xfId="1976" xr:uid="{6B6E064B-F7B7-49A2-ABCD-F55372691FBC}"/>
    <cellStyle name="Millares [2] 6" xfId="1977" xr:uid="{1884DD46-A5D8-4466-BE84-5BC0DEC37878}"/>
    <cellStyle name="Millares [2]_Bases_Generales" xfId="1978" xr:uid="{01F2FFF7-9625-4B33-A2AD-3C9AC300B0D4}"/>
    <cellStyle name="Millares [3]" xfId="1979" xr:uid="{6A278F63-07C1-4F94-9B66-27E205F0030C}"/>
    <cellStyle name="Millares [3] 2" xfId="1980" xr:uid="{76622548-9C6D-4D77-A491-8BE346C01BDB}"/>
    <cellStyle name="Millares [3] 2 2" xfId="1981" xr:uid="{28BE19D5-557F-48C8-811E-7D27EE4EE662}"/>
    <cellStyle name="Millares [3] 2 3" xfId="1982" xr:uid="{FD669708-1509-414A-9E78-0394CAD80AC1}"/>
    <cellStyle name="Millares [3] 2_Deuda septiembre_marcos" xfId="3431" xr:uid="{1A5752BD-D26D-48BB-8AEE-ACDEAD3B27D0}"/>
    <cellStyle name="Millares [3] 3" xfId="1983" xr:uid="{1A6F64CC-969A-4012-BC47-85F6F4FC0882}"/>
    <cellStyle name="Millares [3] 3 2" xfId="1984" xr:uid="{C2AC098A-6DE4-4428-85E6-BECD4D8678B2}"/>
    <cellStyle name="Millares [3] 3_Deuda septiembre_marcos" xfId="3432" xr:uid="{AAA2AB63-0577-4D26-97E4-EEC5AE50D78F}"/>
    <cellStyle name="Millares [3] 4" xfId="1985" xr:uid="{12EF2902-90A9-4479-B525-38B9D28C7608}"/>
    <cellStyle name="Millares [3] 5" xfId="1986" xr:uid="{C269CE6D-0EC3-40F7-B61A-F6C2ADCF1BC1}"/>
    <cellStyle name="Millares [3] 6" xfId="1987" xr:uid="{D4563742-7CDC-4E0D-9BEC-DABFE13470A3}"/>
    <cellStyle name="Millares [3]_Bases_Generales" xfId="1988" xr:uid="{42B0EB63-4F91-4C77-B76E-E72AEED02C32}"/>
    <cellStyle name="Millares 10" xfId="21" xr:uid="{8DC65287-973C-4A4E-B514-22767FD3B188}"/>
    <cellStyle name="Millares 10 2" xfId="3740" xr:uid="{E84E1DA2-C9D1-4E9D-A8E7-CC5323FB44B7}"/>
    <cellStyle name="Millares 11" xfId="1989" xr:uid="{0A12E30B-4989-433E-9277-2D434BA0726F}"/>
    <cellStyle name="Millares 11 2" xfId="3788" xr:uid="{DD2264E6-F303-4590-AF6D-A9F6CF14D1A7}"/>
    <cellStyle name="Millares 11 2 2" xfId="6783" xr:uid="{4C701660-7B36-48B2-A62D-D3FE0C452BC9}"/>
    <cellStyle name="Millares 11 2 2 2" xfId="7106" xr:uid="{CBFEF34A-BB91-48B2-836F-1D8DBB6E7AEC}"/>
    <cellStyle name="Millares 11 2 2 2 2" xfId="7747" xr:uid="{22217205-196B-45DB-BD68-430426057547}"/>
    <cellStyle name="Millares 11 2 2 3" xfId="7424" xr:uid="{D0837416-01B5-4783-9FEE-1115D209C668}"/>
    <cellStyle name="Millares 11 2 3" xfId="6942" xr:uid="{E81EA340-BF29-4F43-B23E-F6344B494983}"/>
    <cellStyle name="Millares 11 2 3 2" xfId="7583" xr:uid="{524D8A8C-18AD-4C48-B73F-C283C98D5F15}"/>
    <cellStyle name="Millares 11 2 4" xfId="7262" xr:uid="{4A13E91B-BD85-492A-97CD-B71210AAE309}"/>
    <cellStyle name="Millares 11 3" xfId="6742" xr:uid="{DEB854EC-919E-4087-B431-D36FF9D0116F}"/>
    <cellStyle name="Millares 11 3 2" xfId="7065" xr:uid="{5886ACD4-0852-4411-A098-501DB18AA7DA}"/>
    <cellStyle name="Millares 11 3 2 2" xfId="7706" xr:uid="{DC2FBBD5-DD9F-45F3-AF9A-45AF9624D0B3}"/>
    <cellStyle name="Millares 11 3 3" xfId="7383" xr:uid="{1E2D71D2-7CFE-4EE9-AEFA-F3813DBB7C86}"/>
    <cellStyle name="Millares 11 4" xfId="6911" xr:uid="{54327C14-71C9-44CC-9605-FCA2E79CC113}"/>
    <cellStyle name="Millares 11 4 2" xfId="7552" xr:uid="{399CEA87-1B71-484D-B086-37041913739C}"/>
    <cellStyle name="Millares 11 5" xfId="7231" xr:uid="{90947B84-3A4F-415A-BC25-72B4A3C9977D}"/>
    <cellStyle name="Millares 12" xfId="5110" xr:uid="{9347B7E2-D245-4933-9CCB-93833CC6425E}"/>
    <cellStyle name="Millares 12 2" xfId="5111" xr:uid="{9A14AD3B-4655-4677-8CF1-8E0D3F617152}"/>
    <cellStyle name="Millares 12 2 2" xfId="6816" xr:uid="{90C0A640-6024-4CC6-8512-E9FA898B01DF}"/>
    <cellStyle name="Millares 12 2 2 2" xfId="7139" xr:uid="{0315F207-CEDF-42BF-BF62-745670093844}"/>
    <cellStyle name="Millares 12 2 2 2 2" xfId="7780" xr:uid="{9FDA7592-91A2-4722-B99C-018D36C9270F}"/>
    <cellStyle name="Millares 12 2 2 3" xfId="7457" xr:uid="{DB950841-2477-43BC-95E6-2C761712B539}"/>
    <cellStyle name="Millares 12 2 3" xfId="6975" xr:uid="{0E0689CE-0B2E-428D-8E72-9737D3FCE666}"/>
    <cellStyle name="Millares 12 2 3 2" xfId="7616" xr:uid="{21E8F729-0DFB-46F0-A262-DE00D703ED38}"/>
    <cellStyle name="Millares 12 2 4" xfId="7293" xr:uid="{9E70063A-6E9B-490E-A0FE-13963CF6E9E6}"/>
    <cellStyle name="Millares 13" xfId="5112" xr:uid="{C6398E78-FEBA-4367-B7D1-860E264374E3}"/>
    <cellStyle name="Millares 13 2" xfId="5113" xr:uid="{124B51F3-CE80-4E71-BF91-B6F5F5FF0CEE}"/>
    <cellStyle name="Millares 13 2 2" xfId="6818" xr:uid="{57856DD7-EEDA-457B-AB07-660AB54801E4}"/>
    <cellStyle name="Millares 13 2 2 2" xfId="7141" xr:uid="{D662BF56-B681-40BB-8EF5-6340DE772A0B}"/>
    <cellStyle name="Millares 13 2 2 2 2" xfId="7782" xr:uid="{F8EA56E9-5F9E-4D74-AFE2-31B187295697}"/>
    <cellStyle name="Millares 13 2 2 3" xfId="7459" xr:uid="{24D1717F-8FCD-4C80-A131-BBC2A7DB482F}"/>
    <cellStyle name="Millares 13 2 3" xfId="6977" xr:uid="{8B05BF51-7BA2-42F7-A913-DCA7B3128767}"/>
    <cellStyle name="Millares 13 2 3 2" xfId="7618" xr:uid="{A5C8763E-B713-45EF-BCD5-59346234F458}"/>
    <cellStyle name="Millares 13 2 4" xfId="7295" xr:uid="{837F236B-D2FE-434A-A3A4-C5A46FEF7708}"/>
    <cellStyle name="Millares 13 3" xfId="6701" xr:uid="{4C4EBD7E-5BF6-4F9D-9DC6-6E093FD3B22E}"/>
    <cellStyle name="Millares 13 3 2" xfId="6870" xr:uid="{D5ED832A-A777-424C-BEE4-44F34B0BDE50}"/>
    <cellStyle name="Millares 13 3 2 2" xfId="7193" xr:uid="{9F77DC9B-28C6-4409-8616-1745E6982F81}"/>
    <cellStyle name="Millares 13 3 2 2 2" xfId="7834" xr:uid="{796A6ECD-E887-4863-9978-D79C27401088}"/>
    <cellStyle name="Millares 13 3 2 3" xfId="7511" xr:uid="{78BA73E2-BC18-44EB-B12C-F810E0EA9825}"/>
    <cellStyle name="Millares 13 3 3" xfId="7027" xr:uid="{9230E05F-A588-4A10-9DEE-782947D0E077}"/>
    <cellStyle name="Millares 13 3 3 2" xfId="7668" xr:uid="{DA493B33-9094-458D-8F4E-DF35CA6240A8}"/>
    <cellStyle name="Millares 13 3 4" xfId="7345" xr:uid="{56F229DE-DEBE-4DBB-B55F-32C4F5475478}"/>
    <cellStyle name="Millares 13 4" xfId="6817" xr:uid="{6C8540A3-DF84-4CAD-91C6-C92D09851BD4}"/>
    <cellStyle name="Millares 13 4 2" xfId="7140" xr:uid="{EED5CDDF-2B3F-43FF-BA8D-0B58C642FA9E}"/>
    <cellStyle name="Millares 13 4 2 2" xfId="7781" xr:uid="{2C349876-0101-4521-93AB-2E0734432E13}"/>
    <cellStyle name="Millares 13 4 3" xfId="7458" xr:uid="{F9FFAEFA-FFD1-42AC-8E10-345C241B5DF2}"/>
    <cellStyle name="Millares 13 5" xfId="6976" xr:uid="{48016331-4622-44E8-86BB-13100FB9DE5F}"/>
    <cellStyle name="Millares 13 5 2" xfId="7617" xr:uid="{F09E4B0B-7D21-4223-B901-1BC0ABA1847F}"/>
    <cellStyle name="Millares 13 6" xfId="7294" xr:uid="{942E46A0-70DF-420D-B877-2BB90390F0A4}"/>
    <cellStyle name="Millares 14" xfId="5114" xr:uid="{DE71B50B-952A-418D-A968-2C771EC310F1}"/>
    <cellStyle name="Millares 14 2" xfId="5115" xr:uid="{A3E5E4D2-429D-4532-9A02-48EACA7AC263}"/>
    <cellStyle name="Millares 14 2 2" xfId="6820" xr:uid="{7FD32EFA-0C8F-439B-9609-19E1BAA81257}"/>
    <cellStyle name="Millares 14 2 2 2" xfId="7143" xr:uid="{49B507DD-8BF2-4BF1-86F0-B8ED7496691A}"/>
    <cellStyle name="Millares 14 2 2 2 2" xfId="7784" xr:uid="{452A9CF1-2B2B-457F-A8F0-22FA78B00C62}"/>
    <cellStyle name="Millares 14 2 2 3" xfId="7461" xr:uid="{4EC6D617-7012-4393-BC39-CACA2D4FA27A}"/>
    <cellStyle name="Millares 14 2 3" xfId="6979" xr:uid="{88C5D9F5-C022-4DCF-9A91-6F14E5FD5D7B}"/>
    <cellStyle name="Millares 14 2 3 2" xfId="7620" xr:uid="{4D24D1A8-4B87-48D8-B1F6-1E9E693E69B4}"/>
    <cellStyle name="Millares 14 2 4" xfId="7297" xr:uid="{904E626A-B2E3-4F71-82C8-1E046EE91DD5}"/>
    <cellStyle name="Millares 14 3" xfId="6819" xr:uid="{1AB5F1A5-ACA3-4B3F-BBF7-93F011D040F6}"/>
    <cellStyle name="Millares 14 3 2" xfId="7142" xr:uid="{FE31A732-F606-4536-A2A1-4D86191ED2CC}"/>
    <cellStyle name="Millares 14 3 2 2" xfId="7783" xr:uid="{37AD70DE-A8E3-4AFB-942B-DF282B72D3D9}"/>
    <cellStyle name="Millares 14 3 3" xfId="7460" xr:uid="{5473E7AA-5CD9-4B1F-B4DB-2495D3884942}"/>
    <cellStyle name="Millares 14 4" xfId="6978" xr:uid="{36B0955B-5E2D-4922-A395-DDB9CE6AA53E}"/>
    <cellStyle name="Millares 14 4 2" xfId="7619" xr:uid="{41D179AF-E8BB-4FB6-9866-572AA49895A7}"/>
    <cellStyle name="Millares 14 5" xfId="7296" xr:uid="{63147C9F-7440-47EC-BEE5-AE02172B151F}"/>
    <cellStyle name="Millares 15" xfId="5116" xr:uid="{D55D78F2-D619-4036-9A88-AE907B98F957}"/>
    <cellStyle name="Millares 15 2" xfId="5117" xr:uid="{404567E7-6CCC-4030-A232-281786E75592}"/>
    <cellStyle name="Millares 15 2 2" xfId="6822" xr:uid="{07D3B59F-342B-450D-80BA-040B674CD39E}"/>
    <cellStyle name="Millares 15 2 2 2" xfId="7145" xr:uid="{F3D9AA88-E865-44CF-9D17-6303A4831220}"/>
    <cellStyle name="Millares 15 2 2 2 2" xfId="7786" xr:uid="{71982F95-CE46-4EA2-A0BA-5F671AA77A33}"/>
    <cellStyle name="Millares 15 2 2 3" xfId="7463" xr:uid="{500BA785-849B-4268-A61D-6D50309562BB}"/>
    <cellStyle name="Millares 15 2 3" xfId="6981" xr:uid="{1D0EE1EE-C3C4-4A24-94BF-691BDE29765E}"/>
    <cellStyle name="Millares 15 2 3 2" xfId="7622" xr:uid="{146DCF3A-31F5-4D0C-96C1-6495B934D892}"/>
    <cellStyle name="Millares 15 2 4" xfId="7299" xr:uid="{71D90ACE-DB07-4F77-87AC-4930D0B718D7}"/>
    <cellStyle name="Millares 15 3" xfId="6821" xr:uid="{899A498E-F16C-4045-B5F9-4B54F6B2BA9E}"/>
    <cellStyle name="Millares 15 3 2" xfId="7144" xr:uid="{67A08BA3-222F-47FC-B6DD-C9BFCFFE1A00}"/>
    <cellStyle name="Millares 15 3 2 2" xfId="7785" xr:uid="{B81B6A9D-14A8-43A2-923E-D18B8DD6AEB1}"/>
    <cellStyle name="Millares 15 3 3" xfId="7462" xr:uid="{D65A086D-9724-415C-8046-3911C512FEA8}"/>
    <cellStyle name="Millares 15 4" xfId="6980" xr:uid="{088D41A0-22A4-47E1-A6BB-F88BE64918C4}"/>
    <cellStyle name="Millares 15 4 2" xfId="7621" xr:uid="{1140B28F-5BC1-436F-96DA-44EB04BF93FA}"/>
    <cellStyle name="Millares 15 5" xfId="7298" xr:uid="{9852F88F-067C-4497-B4AE-1406B2D4E3CF}"/>
    <cellStyle name="Millares 16" xfId="5118" xr:uid="{34DBD06A-9B5C-4E0E-931D-DA456D733F1B}"/>
    <cellStyle name="Millares 16 2" xfId="5119" xr:uid="{365D53DC-9D9E-4070-9522-C4689A91F0E4}"/>
    <cellStyle name="Millares 16 2 2" xfId="6824" xr:uid="{A78D9476-35B6-4547-B5C1-00C2D1D74B22}"/>
    <cellStyle name="Millares 16 2 2 2" xfId="7147" xr:uid="{7EDD8AEB-89E9-4206-9E37-F5175433BDC4}"/>
    <cellStyle name="Millares 16 2 2 2 2" xfId="7788" xr:uid="{D0DB90AD-0A1F-4D69-851B-52F52C8B6058}"/>
    <cellStyle name="Millares 16 2 2 3" xfId="7465" xr:uid="{8550ED70-A9D7-442A-938E-0A4E29F7AD0D}"/>
    <cellStyle name="Millares 16 2 3" xfId="6983" xr:uid="{37842430-6578-4932-9439-277AFB12DCB7}"/>
    <cellStyle name="Millares 16 2 3 2" xfId="7624" xr:uid="{CD4ED81D-07D7-42DA-899A-BD24ACBADAF5}"/>
    <cellStyle name="Millares 16 2 4" xfId="7301" xr:uid="{34CF6B61-FE72-4D5F-AC8E-A28AA694B959}"/>
    <cellStyle name="Millares 16 3" xfId="6823" xr:uid="{A9622CEA-0CBF-4B03-90BC-C8B636EC3121}"/>
    <cellStyle name="Millares 16 3 2" xfId="7146" xr:uid="{F6609FE8-3277-47DA-BA9B-82E9F7856047}"/>
    <cellStyle name="Millares 16 3 2 2" xfId="7787" xr:uid="{6E72F800-E2A0-4C44-88C2-B0B88CB42E3D}"/>
    <cellStyle name="Millares 16 3 3" xfId="7464" xr:uid="{98583EAA-BB85-4B49-A70B-6FF0EF530D87}"/>
    <cellStyle name="Millares 16 4" xfId="6982" xr:uid="{548EC46D-904F-4A50-A606-526A8E42AD35}"/>
    <cellStyle name="Millares 16 4 2" xfId="7623" xr:uid="{D87A481C-AFEE-4EFC-9891-C8EB9EDAD606}"/>
    <cellStyle name="Millares 16 5" xfId="7300" xr:uid="{E93CF76B-EA35-44A0-B76E-E439FE676C77}"/>
    <cellStyle name="Millares 17" xfId="5120" xr:uid="{61052541-A219-4D3D-8925-3A9B3E5DA85A}"/>
    <cellStyle name="Millares 17 2" xfId="5121" xr:uid="{9E859DD1-20A5-4D62-BB39-30C0F8380D21}"/>
    <cellStyle name="Millares 17 2 2" xfId="6826" xr:uid="{F78FF265-B2FF-4E40-A6F4-51696280EB78}"/>
    <cellStyle name="Millares 17 2 2 2" xfId="7149" xr:uid="{41B47DE0-0B87-443B-B859-E07170D20124}"/>
    <cellStyle name="Millares 17 2 2 2 2" xfId="7790" xr:uid="{91676C09-0A7F-47D1-B9B0-75C872BE5B3F}"/>
    <cellStyle name="Millares 17 2 2 3" xfId="7467" xr:uid="{975B2D1D-CB77-4CB0-A4CF-803993CC1A78}"/>
    <cellStyle name="Millares 17 2 3" xfId="6985" xr:uid="{26496AF5-DAF1-4BBB-A9CB-E23E9A55FB71}"/>
    <cellStyle name="Millares 17 2 3 2" xfId="7626" xr:uid="{3B9A0947-8BC9-483B-96B3-E8555438837D}"/>
    <cellStyle name="Millares 17 2 4" xfId="7303" xr:uid="{13B37FAE-41EC-460A-A091-744166062CBB}"/>
    <cellStyle name="Millares 17 3" xfId="6825" xr:uid="{0B77CE92-BD42-432D-8165-61E762971632}"/>
    <cellStyle name="Millares 17 3 2" xfId="7148" xr:uid="{F72F95A4-65C2-4838-8DD2-12A034180088}"/>
    <cellStyle name="Millares 17 3 2 2" xfId="7789" xr:uid="{FBBF41E3-3A52-46D4-8BB8-D6F400C5C425}"/>
    <cellStyle name="Millares 17 3 3" xfId="7466" xr:uid="{33BC2384-A720-4282-B486-4490AA341327}"/>
    <cellStyle name="Millares 17 4" xfId="6984" xr:uid="{11D801B9-A004-4B06-99AF-9B166506E9FC}"/>
    <cellStyle name="Millares 17 4 2" xfId="7625" xr:uid="{0E7C9844-6A0D-4038-BE17-9FCF470DA3AF}"/>
    <cellStyle name="Millares 17 5" xfId="7302" xr:uid="{9958E5C5-EAA7-49E9-A15F-6DB75C73D61C}"/>
    <cellStyle name="Millares 18" xfId="5122" xr:uid="{579EA7D3-B254-40E7-B24A-2DDF94A525C0}"/>
    <cellStyle name="Millares 18 2" xfId="5123" xr:uid="{EBBA5C07-0353-463E-942E-5E9B919303F7}"/>
    <cellStyle name="Millares 18 2 2" xfId="6828" xr:uid="{67470712-A0DB-462A-AB8E-89241CCD0294}"/>
    <cellStyle name="Millares 18 2 2 2" xfId="7151" xr:uid="{6FF6E585-89F1-4773-B5CD-148021BE411C}"/>
    <cellStyle name="Millares 18 2 2 2 2" xfId="7792" xr:uid="{735AE0BA-CE4F-4CDA-88AB-82C713FC648F}"/>
    <cellStyle name="Millares 18 2 2 3" xfId="7469" xr:uid="{6684C290-C972-4821-A1F3-D8F2CC1E6135}"/>
    <cellStyle name="Millares 18 2 3" xfId="6987" xr:uid="{057F0EFC-0930-4F76-B19D-8D4F9773C671}"/>
    <cellStyle name="Millares 18 2 3 2" xfId="7628" xr:uid="{5F4D0C13-7597-4067-AB33-8C7BD4EDAAE0}"/>
    <cellStyle name="Millares 18 2 4" xfId="7305" xr:uid="{9969FF8A-BECC-4150-8826-867B09AC81F5}"/>
    <cellStyle name="Millares 18 3" xfId="6827" xr:uid="{66B42854-56F4-4CEA-A88D-D2856F681CAA}"/>
    <cellStyle name="Millares 18 3 2" xfId="7150" xr:uid="{11FA8E25-9790-4F38-BF1C-CB388693A76B}"/>
    <cellStyle name="Millares 18 3 2 2" xfId="7791" xr:uid="{7BED00A7-83DE-4C4D-99C5-53924617654E}"/>
    <cellStyle name="Millares 18 3 3" xfId="7468" xr:uid="{A4DBE316-4904-4C7C-9AE0-B8C6A624FE9B}"/>
    <cellStyle name="Millares 18 4" xfId="6986" xr:uid="{1683BF6F-E233-44D5-B91C-71269EE22DDA}"/>
    <cellStyle name="Millares 18 4 2" xfId="7627" xr:uid="{E7E27A44-CAF6-481F-AD45-9718747F392A}"/>
    <cellStyle name="Millares 18 5" xfId="7304" xr:uid="{92C6028F-8517-41D1-A7DB-0AE93F3421E5}"/>
    <cellStyle name="Millares 19" xfId="5124" xr:uid="{59630A10-D97E-4023-9041-E64A98BB8F31}"/>
    <cellStyle name="Millares 19 2" xfId="5125" xr:uid="{1F6ED7C3-943E-4CB3-9157-91F5397AC044}"/>
    <cellStyle name="Millares 19 2 2" xfId="6830" xr:uid="{8916D473-E995-4EB7-8760-FACDAC8FAEED}"/>
    <cellStyle name="Millares 19 2 2 2" xfId="7153" xr:uid="{6FF6648F-3E9F-462F-AB7F-97669D5D92F9}"/>
    <cellStyle name="Millares 19 2 2 2 2" xfId="7794" xr:uid="{5FCA46C4-D671-4F63-868D-EA6FD7F63EE5}"/>
    <cellStyle name="Millares 19 2 2 3" xfId="7471" xr:uid="{7F109C1A-C02D-4434-9AA8-8CA97178A600}"/>
    <cellStyle name="Millares 19 2 3" xfId="6989" xr:uid="{A857807C-AA55-4CB5-BAFB-3C8B4DEF55A4}"/>
    <cellStyle name="Millares 19 2 3 2" xfId="7630" xr:uid="{F0288167-28C0-4B44-A431-37625014EE07}"/>
    <cellStyle name="Millares 19 2 4" xfId="7307" xr:uid="{8AE5D45C-2E12-48AC-A5F3-7839B8528751}"/>
    <cellStyle name="Millares 19 3" xfId="6829" xr:uid="{5133645F-8D0F-4512-8C95-B12BF9BB8F4E}"/>
    <cellStyle name="Millares 19 3 2" xfId="7152" xr:uid="{06A6C81D-0DA2-4A6B-9B1B-74DD9D1DE81A}"/>
    <cellStyle name="Millares 19 3 2 2" xfId="7793" xr:uid="{647F3D1B-8A64-4118-B9AD-3310D3BA987E}"/>
    <cellStyle name="Millares 19 3 3" xfId="7470" xr:uid="{AF0A81C6-AFA2-4AB1-9FCA-33FF6F6A0B7F}"/>
    <cellStyle name="Millares 19 4" xfId="6988" xr:uid="{F4994B7A-9F40-44D8-ADE3-FA0BF5686365}"/>
    <cellStyle name="Millares 19 4 2" xfId="7629" xr:uid="{1E40C756-2906-4EAA-9CCA-1F25873EADEA}"/>
    <cellStyle name="Millares 19 5" xfId="7306" xr:uid="{D03C7DE5-1998-485F-BFB8-599A309F1A59}"/>
    <cellStyle name="Millares 2" xfId="1" xr:uid="{8C1D07EC-0ACD-4A2D-9739-5B0E8D81D45B}"/>
    <cellStyle name="Millares 2 10" xfId="5126" xr:uid="{10B169A5-8937-4FFF-A14A-D76E3CE1744C}"/>
    <cellStyle name="Millares 2 11" xfId="6706" xr:uid="{E651C637-C755-496B-B80E-DEE247A646FD}"/>
    <cellStyle name="Millares 2 11 2" xfId="6875" xr:uid="{7AB85CFC-D84C-414B-A16B-2ECE60DCC617}"/>
    <cellStyle name="Millares 2 11 2 2" xfId="7198" xr:uid="{8B255107-359E-49B7-A953-60B43F3A7A43}"/>
    <cellStyle name="Millares 2 11 2 2 2" xfId="7839" xr:uid="{3870666E-D07F-4F74-B41E-2D3242C451D6}"/>
    <cellStyle name="Millares 2 11 2 3" xfId="7516" xr:uid="{448BED62-2ABC-4E83-BBB2-8A6CF860EBCC}"/>
    <cellStyle name="Millares 2 11 3" xfId="7032" xr:uid="{5F4FE442-C823-4D4E-AB90-276C86825CFF}"/>
    <cellStyle name="Millares 2 11 3 2" xfId="7673" xr:uid="{517FF27A-79EE-4B07-9F49-8C1E17414A22}"/>
    <cellStyle name="Millares 2 11 4" xfId="7350" xr:uid="{9157F939-4710-4D49-91BB-6AFB9365BCC0}"/>
    <cellStyle name="Millares 2 12" xfId="6722" xr:uid="{1C6504CA-FD9C-4E4E-A73C-74E52AF1B49E}"/>
    <cellStyle name="Millares 2 12 2" xfId="6888" xr:uid="{8B899F52-5037-453D-A491-04D1C12B10C1}"/>
    <cellStyle name="Millares 2 12 2 2" xfId="7211" xr:uid="{61C13E24-3D76-4D81-8465-B8BA5DC99A40}"/>
    <cellStyle name="Millares 2 12 2 2 2" xfId="7852" xr:uid="{D979B16C-820A-4C5F-92B5-C9386BBC8AC6}"/>
    <cellStyle name="Millares 2 12 2 3" xfId="7529" xr:uid="{7F4DA660-14A4-4A69-A278-C6738AA3C932}"/>
    <cellStyle name="Millares 2 12 3" xfId="7045" xr:uid="{B76D7AED-A672-4FD0-8C52-FC8B8931EF71}"/>
    <cellStyle name="Millares 2 12 3 2" xfId="7686" xr:uid="{D34E6A05-F6E7-4532-9436-44F82B5AE10F}"/>
    <cellStyle name="Millares 2 12 4" xfId="7363" xr:uid="{C6CDD447-5F54-4271-BDE7-B8C92E2838AE}"/>
    <cellStyle name="Millares 2 13" xfId="1990" xr:uid="{797BF213-56B6-4C3F-9DAD-BC99A9012D88}"/>
    <cellStyle name="Millares 2 14" xfId="6731" xr:uid="{52297141-2C3C-4148-BE9B-157074DEBF51}"/>
    <cellStyle name="Millares 2 14 2" xfId="7054" xr:uid="{3FCFFA85-5343-44DC-8928-58388D42816D}"/>
    <cellStyle name="Millares 2 14 2 2" xfId="7695" xr:uid="{56269A46-E153-4FF6-8BB1-127AECD1B5FA}"/>
    <cellStyle name="Millares 2 14 3" xfId="7372" xr:uid="{97C1C6CA-658A-459B-A06D-C4BA2E9DDFC1}"/>
    <cellStyle name="Millares 2 15" xfId="6905" xr:uid="{1BAD58F9-4DD2-42B1-9B20-CA973D7BEAA3}"/>
    <cellStyle name="Millares 2 15 2" xfId="7546" xr:uid="{E5FC6A20-58C3-4CC5-A2F8-C2F463EE06E1}"/>
    <cellStyle name="Millares 2 16" xfId="81" xr:uid="{B62E1E16-63D5-4E91-B02C-01167E531665}"/>
    <cellStyle name="Millares 2 17" xfId="7225" xr:uid="{300441CB-E35F-4BE6-8891-A6F2C7200986}"/>
    <cellStyle name="Millares 2 18" xfId="7862" xr:uid="{A8FBD78C-6F74-4C95-8DFC-ACD1C44F004B}"/>
    <cellStyle name="Millares 2 2" xfId="1991" xr:uid="{D0159C99-A3B1-489D-ACF2-031E87C5F33A}"/>
    <cellStyle name="Millares 2 2 2" xfId="1992" xr:uid="{723642EC-D4C1-4914-9FC3-1E36878FDFCD}"/>
    <cellStyle name="Millares 2 2 2 2" xfId="9" xr:uid="{C65EB295-6BF8-48F2-A5A8-AEF35F19C9D7}"/>
    <cellStyle name="Millares 2 2 2 2 2" xfId="5127" xr:uid="{AF1E8A52-D803-46CA-9959-617B614E872C}"/>
    <cellStyle name="Millares 2 2 2 3" xfId="5128" xr:uid="{F79625E5-8016-4FAD-82F5-F5B607BDAA67}"/>
    <cellStyle name="Millares 2 2 2 4" xfId="5129" xr:uid="{BE60090D-0FBD-4006-A6B6-DA98B9E036E2}"/>
    <cellStyle name="Millares 2 2 2 4 2" xfId="5130" xr:uid="{7D8EF99A-5E2F-420C-BDDA-9694C006B9AE}"/>
    <cellStyle name="Millares 2 2 2 5" xfId="3789" xr:uid="{1B5B3AD4-68AE-4BED-A594-24379D63A02E}"/>
    <cellStyle name="Millares 2 2 3" xfId="5131" xr:uid="{A2FF2017-0774-4FC1-A312-E0D115F34953}"/>
    <cellStyle name="Millares 2 2 4" xfId="5132" xr:uid="{427CFD01-0922-4DEC-9882-593D989B16F1}"/>
    <cellStyle name="Millares 2 2 4 2" xfId="5133" xr:uid="{1887C778-422C-403A-8B09-3814CF15CB23}"/>
    <cellStyle name="Millares 2 2 4 3" xfId="6831" xr:uid="{89E16116-08C7-4149-9600-6148326A0B9D}"/>
    <cellStyle name="Millares 2 2 4 3 2" xfId="7154" xr:uid="{B0AFFED4-E885-4472-BD3D-50A610CDBE4A}"/>
    <cellStyle name="Millares 2 2 4 3 2 2" xfId="7795" xr:uid="{CE23147A-5B03-4509-B180-85606909B346}"/>
    <cellStyle name="Millares 2 2 4 3 3" xfId="7472" xr:uid="{626A02A8-0F31-4ACE-B447-8D98BC43B09F}"/>
    <cellStyle name="Millares 2 2 4 4" xfId="6990" xr:uid="{5B64F8BE-89E9-46CA-AD7A-6B7F57793AA3}"/>
    <cellStyle name="Millares 2 2 4 4 2" xfId="7631" xr:uid="{8851BAE3-4186-42E2-997B-23A0E00D0492}"/>
    <cellStyle name="Millares 2 2 4 5" xfId="7308" xr:uid="{0F0C4A16-871F-4116-9F1C-01D01B71E62A}"/>
    <cellStyle name="Millares 2 2 5" xfId="5134" xr:uid="{2D6857AD-8802-4680-972E-91AE7A67EB5E}"/>
    <cellStyle name="Millares 2 2_Deuda septiembre_marcos" xfId="1993" xr:uid="{0C02359A-FBAE-44F0-BA73-CD467D5F80B7}"/>
    <cellStyle name="Millares 2 3" xfId="3737" xr:uid="{F00B3811-DDB6-4BFD-B7BB-DD519CA21EC1}"/>
    <cellStyle name="Millares 2 3 2" xfId="5135" xr:uid="{E5004561-EDCA-43C0-8AB5-E8C5E9A5EA7E}"/>
    <cellStyle name="Millares 2 3 2 2" xfId="6832" xr:uid="{D00287B7-9C9C-4E8F-A696-148B651DE6E5}"/>
    <cellStyle name="Millares 2 3 2 2 2" xfId="7155" xr:uid="{C4137C82-F71E-4461-A794-06A245999CE7}"/>
    <cellStyle name="Millares 2 3 2 2 2 2" xfId="7796" xr:uid="{CAA411F0-7D81-4100-84D9-BA5122DB2FF5}"/>
    <cellStyle name="Millares 2 3 2 2 3" xfId="7473" xr:uid="{6415F101-A22D-4EF2-B4F1-A35DE22896BB}"/>
    <cellStyle name="Millares 2 3 2 3" xfId="6991" xr:uid="{BCE7C376-AC1F-4D3D-BACB-04E8B7084C6F}"/>
    <cellStyle name="Millares 2 3 2 3 2" xfId="7632" xr:uid="{0A168029-5FD4-4806-A635-0667C3728B54}"/>
    <cellStyle name="Millares 2 3 2 4" xfId="7309" xr:uid="{9D66E065-AB61-4995-BEFC-CD84AF5E41C0}"/>
    <cellStyle name="Millares 2 3 3" xfId="3820" xr:uid="{F1335853-9050-4839-9E87-DCBE26D668A4}"/>
    <cellStyle name="Millares 2 3 3 2" xfId="6813" xr:uid="{D939D7F8-D782-4A4E-953C-B86236773DC2}"/>
    <cellStyle name="Millares 2 3 3 2 2" xfId="7136" xr:uid="{03B87B1C-62F3-453D-8D8B-1121A3F75DD7}"/>
    <cellStyle name="Millares 2 3 3 2 2 2" xfId="7777" xr:uid="{766C12A9-AFCB-471A-A617-9B8734E680D1}"/>
    <cellStyle name="Millares 2 3 3 2 3" xfId="7454" xr:uid="{938673AA-9B3D-4E46-9F13-3187A9F024B0}"/>
    <cellStyle name="Millares 2 3 3 3" xfId="6972" xr:uid="{B9195258-66F6-4540-B49A-02937A141F60}"/>
    <cellStyle name="Millares 2 3 3 3 2" xfId="7613" xr:uid="{6ADA17EC-AC7B-4F29-B7A7-46B95250DF56}"/>
    <cellStyle name="Millares 2 3 3 4" xfId="7292" xr:uid="{520E470A-E024-45C3-A709-73ADE3B0ECB5}"/>
    <cellStyle name="Millares 2 3 4" xfId="6782" xr:uid="{13BCD9A9-4FAA-4955-A712-C39FAE881E3E}"/>
    <cellStyle name="Millares 2 3 4 2" xfId="7105" xr:uid="{50845378-4C00-48F1-B8A2-07C00C1CBA6D}"/>
    <cellStyle name="Millares 2 3 4 2 2" xfId="7746" xr:uid="{5DF9436F-FD82-45CB-9268-5CF70208079C}"/>
    <cellStyle name="Millares 2 3 4 3" xfId="7423" xr:uid="{E28DA332-C506-47D6-B7C7-6EF666E16590}"/>
    <cellStyle name="Millares 2 3 5" xfId="6941" xr:uid="{7FF166EC-64F3-4BCD-8D53-82540C7CFFE0}"/>
    <cellStyle name="Millares 2 3 5 2" xfId="7582" xr:uid="{2F2CC89E-D2B6-46B7-81B2-F2550EC3AD0A}"/>
    <cellStyle name="Millares 2 3 6" xfId="7261" xr:uid="{8A9EC5C6-99FF-4885-886B-79E5EDE780EA}"/>
    <cellStyle name="Millares 2 4" xfId="5136" xr:uid="{7C6F9A53-0490-4914-9A00-AA64A8ED6C79}"/>
    <cellStyle name="Millares 2 4 2" xfId="5137" xr:uid="{33FDB735-E4F0-4AB4-88CF-65660CC88D97}"/>
    <cellStyle name="Millares 2 4 2 2" xfId="6833" xr:uid="{6AA3F1E1-8238-457F-BE6F-9610EE18703E}"/>
    <cellStyle name="Millares 2 4 2 2 2" xfId="7156" xr:uid="{700A7CB9-9C14-4118-A4EE-330C95266193}"/>
    <cellStyle name="Millares 2 4 2 2 2 2" xfId="7797" xr:uid="{C9774E4F-A479-412B-9065-C12AAD5004A5}"/>
    <cellStyle name="Millares 2 4 2 2 3" xfId="7474" xr:uid="{7230328C-8BBD-4802-B1F9-3A6F4D643FE5}"/>
    <cellStyle name="Millares 2 4 2 3" xfId="6992" xr:uid="{7C76E821-6A01-4954-9926-4709CAFB4372}"/>
    <cellStyle name="Millares 2 4 2 3 2" xfId="7633" xr:uid="{65347BA1-51E5-4798-B1E8-CFE1AF6AAD9B}"/>
    <cellStyle name="Millares 2 4 2 4" xfId="7310" xr:uid="{B21D6928-C05A-4B60-A63C-00A5792E28EB}"/>
    <cellStyle name="Millares 2 5" xfId="5138" xr:uid="{0821FA77-A218-47F9-AC93-7582082B5FCE}"/>
    <cellStyle name="Millares 2 6" xfId="5139" xr:uid="{7367369C-84DA-43B2-AE18-7A4E918CA111}"/>
    <cellStyle name="Millares 2 7" xfId="6715" xr:uid="{A65B7E86-F512-4644-A934-230021A95B22}"/>
    <cellStyle name="Millares 2 7 2" xfId="6882" xr:uid="{A206FB6E-B3AE-4817-834E-17E99506942F}"/>
    <cellStyle name="Millares 2 7 2 2" xfId="7205" xr:uid="{22E73C64-5277-4698-AB0A-0181BFCF545A}"/>
    <cellStyle name="Millares 2 7 2 2 2" xfId="7846" xr:uid="{113724CE-0B46-4580-B4C2-0AD0CD740914}"/>
    <cellStyle name="Millares 2 7 2 3" xfId="7523" xr:uid="{DA7833E0-CAA0-42A6-A821-A9FB1D146452}"/>
    <cellStyle name="Millares 2 7 3" xfId="7039" xr:uid="{ABFD5147-5F24-414D-8A45-1AA54AA0F6C4}"/>
    <cellStyle name="Millares 2 7 3 2" xfId="7680" xr:uid="{F6EEB7C8-9627-40BB-A001-FD2967EAA4F0}"/>
    <cellStyle name="Millares 2 7 4" xfId="7357" xr:uid="{1C909541-9D75-4FC6-8A93-E6ABAC8FCAC3}"/>
    <cellStyle name="Millares 2 8" xfId="6719" xr:uid="{360F3A43-EE4A-4C39-AA4C-2DD0C02533A8}"/>
    <cellStyle name="Millares 2 8 2" xfId="6885" xr:uid="{63A40F76-803F-4CF3-9387-DF876ED5D390}"/>
    <cellStyle name="Millares 2 8 2 2" xfId="7208" xr:uid="{CEFA8136-6354-4CF6-995B-5A5900C6A646}"/>
    <cellStyle name="Millares 2 8 2 2 2" xfId="7849" xr:uid="{B474BA9F-DBD0-401D-A6B6-51AF527ED402}"/>
    <cellStyle name="Millares 2 8 2 3" xfId="7526" xr:uid="{4FDDD5D6-5CBF-4110-86FD-F62825E33D02}"/>
    <cellStyle name="Millares 2 8 3" xfId="7042" xr:uid="{3CE56C8E-8A84-44DD-850E-C6CFF327D03A}"/>
    <cellStyle name="Millares 2 8 3 2" xfId="7683" xr:uid="{AB808286-5C57-4641-8896-B17E852CE68F}"/>
    <cellStyle name="Millares 2 8 4" xfId="7360" xr:uid="{DCA39DF7-2F53-4931-98F1-391C2F4D7A36}"/>
    <cellStyle name="Millares 2 9" xfId="6718" xr:uid="{F2966C7B-2A35-4AD8-B28D-2707862D4EAD}"/>
    <cellStyle name="Millares 2 9 2" xfId="6884" xr:uid="{6A80340C-2FB8-4CF2-AFF4-979F2C2AE0B4}"/>
    <cellStyle name="Millares 2 9 2 2" xfId="7207" xr:uid="{F6A330BF-D949-4EBA-8AB9-BF09747FFE1B}"/>
    <cellStyle name="Millares 2 9 2 2 2" xfId="7848" xr:uid="{67DBBC01-E903-4796-830D-DE6BFA997489}"/>
    <cellStyle name="Millares 2 9 2 3" xfId="7525" xr:uid="{83ADE275-F695-47F6-A644-8BB788363655}"/>
    <cellStyle name="Millares 2 9 3" xfId="7041" xr:uid="{F881E387-106D-4604-B60E-7122A8ACC206}"/>
    <cellStyle name="Millares 2 9 3 2" xfId="7682" xr:uid="{9EF2DA77-54F8-4B8C-A6A9-1ADE4776CA4C}"/>
    <cellStyle name="Millares 2 9 4" xfId="7359" xr:uid="{62EAD126-60C4-4747-819B-F41AA5E02CAB}"/>
    <cellStyle name="Millares 2_Deuda septiembre_marcos" xfId="1994" xr:uid="{01C426AA-A010-4CCF-807A-241340F8EE5E}"/>
    <cellStyle name="Millares 20" xfId="5140" xr:uid="{D75CE2D7-C796-4719-8DEB-96B52388B8BB}"/>
    <cellStyle name="Millares 20 2" xfId="5141" xr:uid="{A3EB666D-5E4E-4E2A-AAFD-91DACCDC627C}"/>
    <cellStyle name="Millares 20 2 2" xfId="6834" xr:uid="{953FF19D-3E07-4390-AF45-692A421F455C}"/>
    <cellStyle name="Millares 20 2 2 2" xfId="7157" xr:uid="{CDA85A82-C7FF-4ACA-B5E3-69BA613CE638}"/>
    <cellStyle name="Millares 20 2 2 2 2" xfId="7798" xr:uid="{AC187991-66E1-4D4E-A136-D32BB1A8B2C1}"/>
    <cellStyle name="Millares 20 2 2 3" xfId="7475" xr:uid="{BBCA0459-6E6B-4854-B3CB-B9CCA97AA324}"/>
    <cellStyle name="Millares 20 2 3" xfId="6993" xr:uid="{EE719760-677B-4A26-BC72-4BDB1B7212E3}"/>
    <cellStyle name="Millares 20 2 3 2" xfId="7634" xr:uid="{ED666BD5-F61F-4E04-A780-2F68B6FECA86}"/>
    <cellStyle name="Millares 20 2 4" xfId="7311" xr:uid="{98BD19AF-6151-4DAF-BD64-D1CF44777D2C}"/>
    <cellStyle name="Millares 21" xfId="5142" xr:uid="{77E20E6C-69A5-4772-B740-1E4B58525ABA}"/>
    <cellStyle name="Millares 21 2" xfId="5143" xr:uid="{58899DBA-5831-4DA8-B395-4DD12932391A}"/>
    <cellStyle name="Millares 21 2 2" xfId="6835" xr:uid="{F42F9AEF-1777-4772-9AED-C54F987052DC}"/>
    <cellStyle name="Millares 21 2 2 2" xfId="7158" xr:uid="{CC44DEC7-5775-4475-9968-AF63E6821FDB}"/>
    <cellStyle name="Millares 21 2 2 2 2" xfId="7799" xr:uid="{CF9FD426-7D11-42A0-90C4-9D112927B4A1}"/>
    <cellStyle name="Millares 21 2 2 3" xfId="7476" xr:uid="{2E8E6228-5F3B-40F3-996D-325D743840EB}"/>
    <cellStyle name="Millares 21 2 3" xfId="6994" xr:uid="{525563BD-FAFD-44DB-B9B9-24A96806FA1D}"/>
    <cellStyle name="Millares 21 2 3 2" xfId="7635" xr:uid="{B13B65B1-92B9-437C-A51D-9CD418175F7F}"/>
    <cellStyle name="Millares 21 2 4" xfId="7312" xr:uid="{074545AC-A7C9-4A92-85CA-48C99CAB6340}"/>
    <cellStyle name="Millares 22" xfId="5144" xr:uid="{ABC9FAAA-391D-4829-8367-590B2F191B1C}"/>
    <cellStyle name="Millares 22 2" xfId="18" xr:uid="{B47BEC3A-AB33-4880-9EF6-70AAD7C4D90F}"/>
    <cellStyle name="Millares 22 5" xfId="7874" xr:uid="{6B60A1D3-7788-4F4C-A6ED-2676FE81E901}"/>
    <cellStyle name="Millares 23" xfId="5145" xr:uid="{4D00C40C-B67C-4E58-97E3-9689EA7E9770}"/>
    <cellStyle name="Millares 23 2" xfId="6836" xr:uid="{34235072-9C70-4958-AE03-3A4737AF1F80}"/>
    <cellStyle name="Millares 23 2 2" xfId="7159" xr:uid="{8937C1E5-969E-48F9-8D23-297C5E31126C}"/>
    <cellStyle name="Millares 23 2 2 2" xfId="7800" xr:uid="{A70CC511-55C1-4DA5-AC21-3BB55396A338}"/>
    <cellStyle name="Millares 23 2 3" xfId="7477" xr:uid="{740C454E-25B3-4CD9-B9ED-20C9D5329FB9}"/>
    <cellStyle name="Millares 23 3" xfId="6995" xr:uid="{D457A39F-6C3B-4B51-B6DC-D24C8BF32089}"/>
    <cellStyle name="Millares 23 3 2" xfId="7636" xr:uid="{B2A9B164-E375-4CD1-915C-BBF8A9596739}"/>
    <cellStyle name="Millares 23 4" xfId="7313" xr:uid="{27670CC4-1585-473E-B95C-8A20FA76CE0B}"/>
    <cellStyle name="Millares 24" xfId="5146" xr:uid="{A0B7A5E6-921D-42FC-B293-A7A18B493A12}"/>
    <cellStyle name="Millares 24 2" xfId="6837" xr:uid="{62BEAFF6-F9F4-4319-830F-0D690C280AC0}"/>
    <cellStyle name="Millares 24 2 2" xfId="7160" xr:uid="{AB657C64-0B7A-48DC-8541-B4D3A84F7E4C}"/>
    <cellStyle name="Millares 24 2 2 2" xfId="7801" xr:uid="{9268BB6F-6991-4B90-A0A3-FEBBE90CEA4F}"/>
    <cellStyle name="Millares 24 2 3" xfId="7478" xr:uid="{A6689E17-2C32-4E3D-BF47-BEC0E7FA1D73}"/>
    <cellStyle name="Millares 24 3" xfId="6996" xr:uid="{99CB71CD-54DA-4842-AC58-832F38D77EA9}"/>
    <cellStyle name="Millares 24 3 2" xfId="7637" xr:uid="{EA1C8E9F-DC97-458D-A00E-4C743377EBA7}"/>
    <cellStyle name="Millares 24 4" xfId="7314" xr:uid="{00117006-CBD6-4E64-84F4-20E55B78A4AB}"/>
    <cellStyle name="Millares 25" xfId="5147" xr:uid="{EF4E7B3C-EC6B-4C3F-92F8-FB8FC8F14E92}"/>
    <cellStyle name="Millares 25 2" xfId="6838" xr:uid="{ECB0B4F3-453D-4EA5-A48C-94DB2ABC828E}"/>
    <cellStyle name="Millares 25 2 2" xfId="7161" xr:uid="{5B373A93-9315-4072-AD28-82C4CA3896CF}"/>
    <cellStyle name="Millares 25 2 2 2" xfId="7802" xr:uid="{5020E893-9E54-4B2B-9EE7-FB3586CC5DD7}"/>
    <cellStyle name="Millares 25 2 3" xfId="7479" xr:uid="{29E6BE5C-31A0-4E3C-8AD4-56FFCD8BB0AB}"/>
    <cellStyle name="Millares 25 3" xfId="6997" xr:uid="{1D609F30-61BE-4217-9089-23840C4CD216}"/>
    <cellStyle name="Millares 25 3 2" xfId="7638" xr:uid="{286C7790-1C04-4447-B139-112E049D3EF2}"/>
    <cellStyle name="Millares 25 4" xfId="7315" xr:uid="{528DB956-437B-4E48-8B79-BDA1EAF1994B}"/>
    <cellStyle name="Millares 26" xfId="5148" xr:uid="{62BA0427-9A23-4F9B-A182-D88938438810}"/>
    <cellStyle name="Millares 26 2" xfId="6839" xr:uid="{A0E05D7E-F6CC-4472-B2E7-D6ABF5683CC6}"/>
    <cellStyle name="Millares 26 2 2" xfId="7162" xr:uid="{26D34752-71EB-4E77-9450-5FCEDF234197}"/>
    <cellStyle name="Millares 26 2 2 2" xfId="7803" xr:uid="{ED8D155B-F1AD-41F0-8086-A3DAB48D0322}"/>
    <cellStyle name="Millares 26 2 3" xfId="7480" xr:uid="{A5A75D3D-8D16-4583-8ABE-7959889661D9}"/>
    <cellStyle name="Millares 26 3" xfId="6998" xr:uid="{C1059915-A489-4D4E-89F9-C355E85EF94C}"/>
    <cellStyle name="Millares 26 3 2" xfId="7639" xr:uid="{F57DD22C-DD3D-40BF-B7BF-62592313F07A}"/>
    <cellStyle name="Millares 26 4" xfId="7316" xr:uid="{DF1AB8F4-5957-4660-8DD1-135613FDE42F}"/>
    <cellStyle name="Millares 27" xfId="5149" xr:uid="{FBEB0D81-7E80-4F50-AB7D-3DDD0782CC68}"/>
    <cellStyle name="Millares 27 2" xfId="6840" xr:uid="{F062373F-F178-4054-B402-6FF88A1FCBD8}"/>
    <cellStyle name="Millares 27 2 2" xfId="7163" xr:uid="{7564F9E5-E379-4F80-9CAA-EF57477D4255}"/>
    <cellStyle name="Millares 27 2 2 2" xfId="7804" xr:uid="{1B9045C1-86EA-4AB2-956E-E378890B6F3A}"/>
    <cellStyle name="Millares 27 2 3" xfId="7481" xr:uid="{E6912545-51D9-4FEE-A5D9-A95B19A90B7D}"/>
    <cellStyle name="Millares 27 3" xfId="6999" xr:uid="{19FBF406-631B-4A34-A989-88F2FFB05094}"/>
    <cellStyle name="Millares 27 3 2" xfId="7640" xr:uid="{CEEA977F-6F0E-4A16-AFEB-4CBECAD2D39E}"/>
    <cellStyle name="Millares 27 4" xfId="7317" xr:uid="{F512580A-EC37-4FB4-94C0-9388CFF228EF}"/>
    <cellStyle name="Millares 28" xfId="5" xr:uid="{E28D0FD0-220E-4FFA-A98A-F1EA5B888C55}"/>
    <cellStyle name="Millares 28 2" xfId="6841" xr:uid="{17F4A27B-FAAE-4AC2-8891-6F75910FF99E}"/>
    <cellStyle name="Millares 28 2 2" xfId="7164" xr:uid="{304E46A7-9558-4ED3-A025-660345AAA01A}"/>
    <cellStyle name="Millares 28 2 2 2" xfId="7805" xr:uid="{9488654F-B716-4EFD-9BA0-865E354BE0F4}"/>
    <cellStyle name="Millares 28 2 3" xfId="7482" xr:uid="{29054A44-299C-43D9-ABD4-23163E42A3BE}"/>
    <cellStyle name="Millares 28 3" xfId="7000" xr:uid="{165DF4FF-7F78-4073-BB2A-7DA54EAD136B}"/>
    <cellStyle name="Millares 28 3 2" xfId="7641" xr:uid="{DCC84C98-3FAC-4528-9262-E322090F095E}"/>
    <cellStyle name="Millares 28 4" xfId="5150" xr:uid="{9D72FE3B-F09B-48D9-A95B-42044B37EC21}"/>
    <cellStyle name="Millares 28 5" xfId="7318" xr:uid="{7B244E38-1CEE-441E-A126-98FE5D043970}"/>
    <cellStyle name="Millares 29" xfId="5151" xr:uid="{72F213DF-38DA-45A7-B5DA-653AB9638723}"/>
    <cellStyle name="Millares 29 2" xfId="5152" xr:uid="{E93839E2-F560-452B-943F-0CAC76AF818D}"/>
    <cellStyle name="Millares 29 2 2" xfId="6843" xr:uid="{C6F4D092-2E17-47C5-9D8A-92055B49F27B}"/>
    <cellStyle name="Millares 29 2 2 2" xfId="7166" xr:uid="{AABC0FB8-A943-40A0-A54E-3A7C61231502}"/>
    <cellStyle name="Millares 29 2 2 2 2" xfId="7807" xr:uid="{18E007FB-5C79-4D67-BA66-F21742AF0DB6}"/>
    <cellStyle name="Millares 29 2 2 3" xfId="7484" xr:uid="{D238B376-C4B3-4CD0-9B81-8A1E75974005}"/>
    <cellStyle name="Millares 29 2 3" xfId="7002" xr:uid="{6DF9CFF5-0D11-425D-8879-7A79949DF8C9}"/>
    <cellStyle name="Millares 29 2 3 2" xfId="7643" xr:uid="{DE482917-82B5-4003-89FE-3345BB5F8661}"/>
    <cellStyle name="Millares 29 2 4" xfId="7320" xr:uid="{55EC0779-CD56-4AE6-BE5F-69BA74705E2D}"/>
    <cellStyle name="Millares 29 3" xfId="6842" xr:uid="{8170D2E8-82C7-42E5-BE40-458ABE6DAC6F}"/>
    <cellStyle name="Millares 29 3 2" xfId="7165" xr:uid="{15EDCA0C-5434-4E77-9CED-CF046FFD1A80}"/>
    <cellStyle name="Millares 29 3 2 2" xfId="7806" xr:uid="{72158793-A315-4F41-9972-FF4690714CFE}"/>
    <cellStyle name="Millares 29 3 3" xfId="7483" xr:uid="{3CD76C3A-02F7-447F-B11E-8C5F54C9D60C}"/>
    <cellStyle name="Millares 29 4" xfId="7001" xr:uid="{48DE4ED5-58D9-4011-A9E3-4A3A37644BEE}"/>
    <cellStyle name="Millares 29 4 2" xfId="7642" xr:uid="{8CE08F7A-CBB7-4CD2-86EF-90FD122F5EE1}"/>
    <cellStyle name="Millares 29 5" xfId="7319" xr:uid="{D20434CD-EB52-4CB2-8427-6D5D216FC8F3}"/>
    <cellStyle name="Millares 3" xfId="15" xr:uid="{FA4239E9-DE73-43C0-9131-ED82D1563F12}"/>
    <cellStyle name="Millares 3 10" xfId="3790" xr:uid="{14AA8AA0-207D-447B-B65D-25900A2BBDAB}"/>
    <cellStyle name="Millares 3 10 2" xfId="6784" xr:uid="{363ED2A0-4D3D-4B03-A519-04C4EDA9EBF5}"/>
    <cellStyle name="Millares 3 10 2 2" xfId="7107" xr:uid="{3BE25774-47EE-4248-9174-1DD59032313D}"/>
    <cellStyle name="Millares 3 10 2 2 2" xfId="7748" xr:uid="{E277704C-11AD-4D29-941F-A6799B4EAB3B}"/>
    <cellStyle name="Millares 3 10 2 3" xfId="7425" xr:uid="{539A494A-8BDF-4B2E-BA88-DB2700AA6D9E}"/>
    <cellStyle name="Millares 3 10 3" xfId="6943" xr:uid="{C37B770B-E002-45E5-AB03-0B05F538FFB4}"/>
    <cellStyle name="Millares 3 10 3 2" xfId="7584" xr:uid="{6D941AF7-0E9E-4BF1-9EF2-382DE0F00F23}"/>
    <cellStyle name="Millares 3 10 4" xfId="7263" xr:uid="{06BED748-B48E-4893-B23C-278FEAA4CF81}"/>
    <cellStyle name="Millares 3 11" xfId="6743" xr:uid="{505D773F-67FF-4A98-8A0E-BE1299E2A4CA}"/>
    <cellStyle name="Millares 3 11 2" xfId="7066" xr:uid="{D2E82EFB-5110-4EDE-9332-3A0EDA8627F7}"/>
    <cellStyle name="Millares 3 11 2 2" xfId="7707" xr:uid="{ACF002DF-597A-4971-A214-5C4F8A4776AE}"/>
    <cellStyle name="Millares 3 11 3" xfId="7384" xr:uid="{37E2C258-815B-45ED-B18D-B2B94E4DC919}"/>
    <cellStyle name="Millares 3 12" xfId="6912" xr:uid="{F10AD4F3-3233-4518-AF8A-46210F235C13}"/>
    <cellStyle name="Millares 3 12 2" xfId="7553" xr:uid="{9D55FC09-D845-405D-B0A5-DAC26C6C9EB2}"/>
    <cellStyle name="Millares 3 13" xfId="1995" xr:uid="{4742B053-89A1-4F1A-933E-461413389E57}"/>
    <cellStyle name="Millares 3 14" xfId="7232" xr:uid="{A5E75EBA-CF0A-43E8-8EBC-AC9D9EAD9328}"/>
    <cellStyle name="Millares 3 2" xfId="1996" xr:uid="{656D0098-4924-4345-AA6E-008B7192DC4A}"/>
    <cellStyle name="Millares 3 2 10" xfId="7233" xr:uid="{33BEA5E3-FB19-4B15-8300-A351D9DA9D26}"/>
    <cellStyle name="Millares 3 2 2" xfId="5153" xr:uid="{0C891C13-0E71-42B3-93A9-79B04C7C1B7C}"/>
    <cellStyle name="Millares 3 2 2 2" xfId="6844" xr:uid="{31672D89-9ECF-4E3A-B17E-CE899F2FEC8E}"/>
    <cellStyle name="Millares 3 2 2 2 2" xfId="7167" xr:uid="{6F2EBBB4-3F86-4B58-97FF-BC3A42FF711C}"/>
    <cellStyle name="Millares 3 2 2 2 2 2" xfId="7808" xr:uid="{D051BF4C-1D02-4ABB-8B31-9A5D6B2CE59B}"/>
    <cellStyle name="Millares 3 2 2 2 3" xfId="7485" xr:uid="{3CB85AD6-2564-4C6D-822F-01A973CCF05E}"/>
    <cellStyle name="Millares 3 2 2 3" xfId="7003" xr:uid="{4139FD46-F96D-4873-BDFB-EEBDEBB9AC5A}"/>
    <cellStyle name="Millares 3 2 2 3 2" xfId="7644" xr:uid="{9E8CCA3F-8A4C-497C-BE81-482D185AA7E7}"/>
    <cellStyle name="Millares 3 2 2 4" xfId="7321" xr:uid="{2024D2CD-B78F-418C-9F26-37CEF2E35883}"/>
    <cellStyle name="Millares 3 2 3" xfId="5154" xr:uid="{B1FA7F02-C316-4071-8C5D-1BB27114694B}"/>
    <cellStyle name="Millares 3 2 3 2" xfId="6845" xr:uid="{54C80E0B-C7C9-41DE-A381-0BE7FE72B667}"/>
    <cellStyle name="Millares 3 2 3 2 2" xfId="7168" xr:uid="{6E3945BC-54E3-41C7-B087-94EFF418152B}"/>
    <cellStyle name="Millares 3 2 3 2 2 2" xfId="7809" xr:uid="{9CDA9D7A-9152-487D-B458-9C4A7E3A7CC2}"/>
    <cellStyle name="Millares 3 2 3 2 3" xfId="7486" xr:uid="{E267171B-4A5A-4E67-B6CC-1869814084DC}"/>
    <cellStyle name="Millares 3 2 3 3" xfId="7004" xr:uid="{9352891F-84A8-482F-8B8B-23C498650BCC}"/>
    <cellStyle name="Millares 3 2 3 3 2" xfId="7645" xr:uid="{187FCEE1-B64E-4BBD-A3ED-F0B98344E5CA}"/>
    <cellStyle name="Millares 3 2 3 4" xfId="7322" xr:uid="{8093CE38-A042-41C5-9623-A824369E0CC2}"/>
    <cellStyle name="Millares 3 2 4" xfId="5155" xr:uid="{C610717F-5F29-4BB2-A794-8F5E93241362}"/>
    <cellStyle name="Millares 3 2 5" xfId="5156" xr:uid="{554E246C-1680-4F4E-879D-15D3E2B8640F}"/>
    <cellStyle name="Millares 3 2 5 2" xfId="6846" xr:uid="{FF317084-9E36-4AB5-80D9-E8B8D3B12C44}"/>
    <cellStyle name="Millares 3 2 5 2 2" xfId="7169" xr:uid="{A128DCEB-F744-4B9B-A840-E1C66A4EB0B4}"/>
    <cellStyle name="Millares 3 2 5 2 2 2" xfId="7810" xr:uid="{AEDEAF63-8F7A-497C-A0E8-726AE62345EB}"/>
    <cellStyle name="Millares 3 2 5 2 3" xfId="7487" xr:uid="{C4BC7A27-EE5A-488D-B64B-EBB2373B05A4}"/>
    <cellStyle name="Millares 3 2 5 3" xfId="7005" xr:uid="{0AD380C6-465B-4BB3-94C3-04FFCA6512E7}"/>
    <cellStyle name="Millares 3 2 5 3 2" xfId="7646" xr:uid="{F59B63ED-B14E-42A2-AD8C-9B64DF520911}"/>
    <cellStyle name="Millares 3 2 5 4" xfId="7323" xr:uid="{6CE75290-8B35-4B3E-84A9-723C3DCEE047}"/>
    <cellStyle name="Millares 3 2 6" xfId="5157" xr:uid="{A2D2BF77-A20D-4EA6-B76E-96AD1DA482AC}"/>
    <cellStyle name="Millares 3 2 6 2" xfId="6847" xr:uid="{F35997A3-DF31-424F-A74D-C4887D2D4B92}"/>
    <cellStyle name="Millares 3 2 6 2 2" xfId="7170" xr:uid="{281DADE4-2821-47F3-8646-5A3AE0AE3248}"/>
    <cellStyle name="Millares 3 2 6 2 2 2" xfId="7811" xr:uid="{5C11DC01-23D0-4381-836E-4DAC044E5DCF}"/>
    <cellStyle name="Millares 3 2 6 2 3" xfId="7488" xr:uid="{69136B02-4FD9-4BAB-B3DF-6CFF81392F31}"/>
    <cellStyle name="Millares 3 2 6 3" xfId="7006" xr:uid="{8B036C99-58F1-49C6-A26E-9018A01641A8}"/>
    <cellStyle name="Millares 3 2 6 3 2" xfId="7647" xr:uid="{3CD0FF55-4913-4542-9E2A-FD8B18B30EC6}"/>
    <cellStyle name="Millares 3 2 6 4" xfId="7324" xr:uid="{7CD31C89-E8C9-494B-9C29-19C7B6DA6419}"/>
    <cellStyle name="Millares 3 2 7" xfId="3791" xr:uid="{A4561849-8451-439A-BDFE-CFA9FD5B257E}"/>
    <cellStyle name="Millares 3 2 7 2" xfId="6785" xr:uid="{E205D844-5B33-4BF2-965E-3CA2F13BD0C0}"/>
    <cellStyle name="Millares 3 2 7 2 2" xfId="7108" xr:uid="{BCDE8713-45CC-46A6-B6AF-94B645CF7D37}"/>
    <cellStyle name="Millares 3 2 7 2 2 2" xfId="7749" xr:uid="{1EE994AA-B90F-4B3B-8EE0-F111F3A58B03}"/>
    <cellStyle name="Millares 3 2 7 2 3" xfId="7426" xr:uid="{57047D12-40D9-46D2-A2CC-8EE0E2177574}"/>
    <cellStyle name="Millares 3 2 7 3" xfId="6944" xr:uid="{882293F6-3A77-480D-86BE-F108FC597305}"/>
    <cellStyle name="Millares 3 2 7 3 2" xfId="7585" xr:uid="{E655E957-3E9C-42A9-A421-3B3928FB24D1}"/>
    <cellStyle name="Millares 3 2 7 4" xfId="7264" xr:uid="{187D5679-DC05-479D-8F9B-DEC786B211BA}"/>
    <cellStyle name="Millares 3 2 8" xfId="6744" xr:uid="{09EADCA7-6000-44F4-8B05-24BADDBBC5F5}"/>
    <cellStyle name="Millares 3 2 8 2" xfId="7067" xr:uid="{AB497754-3B75-4448-B853-DD799524C164}"/>
    <cellStyle name="Millares 3 2 8 2 2" xfId="7708" xr:uid="{06EDB64A-3D93-4384-8324-83C0E2334F22}"/>
    <cellStyle name="Millares 3 2 8 3" xfId="7385" xr:uid="{BE9BBC42-97FE-42F6-9567-056B830D1280}"/>
    <cellStyle name="Millares 3 2 9" xfId="6913" xr:uid="{BCA30A97-9367-4903-A79E-6F34560F099F}"/>
    <cellStyle name="Millares 3 2 9 2" xfId="7554" xr:uid="{03CDD010-1CE3-46A1-99E7-E204DB36D661}"/>
    <cellStyle name="Millares 3 3" xfId="1997" xr:uid="{4B7597B2-956E-4C62-A97F-DF80D903D90E}"/>
    <cellStyle name="Millares 3 3 2" xfId="5158" xr:uid="{925AB1BF-13BD-40B1-B491-A0181A60B5AC}"/>
    <cellStyle name="Millares 3 3 2 2" xfId="6848" xr:uid="{C12A870D-FC61-4FB0-A249-2D357E57A920}"/>
    <cellStyle name="Millares 3 3 2 2 2" xfId="7171" xr:uid="{69D658A1-0422-4C23-84EC-9E5C4E93CB9B}"/>
    <cellStyle name="Millares 3 3 2 2 2 2" xfId="7812" xr:uid="{3032C9AB-DF8D-4E96-8081-B247B9E1DED2}"/>
    <cellStyle name="Millares 3 3 2 2 3" xfId="7489" xr:uid="{27B0F088-E2DB-421A-8B4A-F55E322B1CB1}"/>
    <cellStyle name="Millares 3 3 2 3" xfId="7007" xr:uid="{D7BDC89C-49BF-4D1B-8EB2-DBF2D7A5C8B7}"/>
    <cellStyle name="Millares 3 3 2 3 2" xfId="7648" xr:uid="{23CAB109-C330-43BF-9071-F500812C1D03}"/>
    <cellStyle name="Millares 3 3 2 4" xfId="7325" xr:uid="{77BF2CE6-0EFD-4362-9B3C-9EBBD2556335}"/>
    <cellStyle name="Millares 3 3 3" xfId="5159" xr:uid="{204FDDB7-A9D3-4186-8398-C555DEE59086}"/>
    <cellStyle name="Millares 3 3 3 2" xfId="6849" xr:uid="{02008560-5578-4B40-8EA9-D629721BC183}"/>
    <cellStyle name="Millares 3 3 3 2 2" xfId="7172" xr:uid="{8D21FE43-A95B-4871-9008-550D08BEDCC2}"/>
    <cellStyle name="Millares 3 3 3 2 2 2" xfId="7813" xr:uid="{06F4A3D1-0266-4099-8DAB-D596AE0DE4AE}"/>
    <cellStyle name="Millares 3 3 3 2 3" xfId="7490" xr:uid="{B219A77E-331C-4430-94D9-E05FB8E54D1F}"/>
    <cellStyle name="Millares 3 3 3 3" xfId="7008" xr:uid="{AF24883B-2ADE-4CED-9179-4B87881E9DD0}"/>
    <cellStyle name="Millares 3 3 3 3 2" xfId="7649" xr:uid="{CCB3A66F-619C-4719-BEC4-4F6A9D8E999A}"/>
    <cellStyle name="Millares 3 3 3 4" xfId="7326" xr:uid="{CAE2C25B-1E89-4DBD-8020-A1141A181888}"/>
    <cellStyle name="Millares 3 3 4" xfId="3792" xr:uid="{E3C75EDA-A522-41BD-8D64-BAEA21937001}"/>
    <cellStyle name="Millares 3 3 4 2" xfId="6786" xr:uid="{1234E211-E2E4-430C-9530-067B77DFC039}"/>
    <cellStyle name="Millares 3 3 4 2 2" xfId="7109" xr:uid="{C2615087-D942-4647-998A-EE5564B50EAF}"/>
    <cellStyle name="Millares 3 3 4 2 2 2" xfId="7750" xr:uid="{D36FB87A-D494-4B0C-9F4D-5A16E1B71E04}"/>
    <cellStyle name="Millares 3 3 4 2 3" xfId="7427" xr:uid="{157728B1-8111-4A28-BB9B-D780DF3C3D6D}"/>
    <cellStyle name="Millares 3 3 4 3" xfId="6945" xr:uid="{4A6C08AA-CC0F-4310-A0B6-253A26B39CCD}"/>
    <cellStyle name="Millares 3 3 4 3 2" xfId="7586" xr:uid="{82465C24-C540-423B-9E1C-7E115E1F6A96}"/>
    <cellStyle name="Millares 3 3 4 4" xfId="7265" xr:uid="{3E192CE3-B19A-43D6-9315-36585F71D724}"/>
    <cellStyle name="Millares 3 3 5" xfId="6745" xr:uid="{A340E0CA-B18D-40A4-81A3-B2F1BB2E78F0}"/>
    <cellStyle name="Millares 3 3 5 2" xfId="7068" xr:uid="{AABF1625-85DE-41AD-9E1C-601A5D060C1A}"/>
    <cellStyle name="Millares 3 3 5 2 2" xfId="7709" xr:uid="{7E7AC8AD-9F39-4FFD-B1A2-CB3A95C0B96A}"/>
    <cellStyle name="Millares 3 3 5 3" xfId="7386" xr:uid="{CB7236CF-093C-4914-9FA1-B9BE97C4D003}"/>
    <cellStyle name="Millares 3 3 6" xfId="6914" xr:uid="{D78FFE6A-3EFA-4062-8876-9F570DBCF732}"/>
    <cellStyle name="Millares 3 3 6 2" xfId="7555" xr:uid="{165452C3-C025-4998-8C74-F4F733BFD381}"/>
    <cellStyle name="Millares 3 3 7" xfId="7234" xr:uid="{2FB81483-5D45-4CF9-BB1B-1FBBBB58B507}"/>
    <cellStyle name="Millares 3 4" xfId="1998" xr:uid="{9461EF63-9DD6-4030-AC1B-EADC35849CFA}"/>
    <cellStyle name="Millares 3 4 2" xfId="5160" xr:uid="{342B2BDD-8D74-477C-A6A2-209C50D843C8}"/>
    <cellStyle name="Millares 3 4 2 2" xfId="6850" xr:uid="{974D47B6-55F6-4C86-8EBA-C2DB7469C60A}"/>
    <cellStyle name="Millares 3 4 2 2 2" xfId="7173" xr:uid="{5C41B009-828B-4359-AED9-69E852CE1CF7}"/>
    <cellStyle name="Millares 3 4 2 2 2 2" xfId="7814" xr:uid="{FCE6E841-1D0C-4A0E-98CF-BFAB1572D0C9}"/>
    <cellStyle name="Millares 3 4 2 2 3" xfId="7491" xr:uid="{549A50FB-3616-4D35-84F5-3F26F2D4515B}"/>
    <cellStyle name="Millares 3 4 2 3" xfId="7009" xr:uid="{443384A0-8F7C-40E0-997D-76ED7CA7845F}"/>
    <cellStyle name="Millares 3 4 2 3 2" xfId="7650" xr:uid="{7582198C-4DD9-4C78-9830-92087DDC2C8E}"/>
    <cellStyle name="Millares 3 4 2 4" xfId="7327" xr:uid="{7052034A-D054-4697-8FB8-7487E41281FC}"/>
    <cellStyle name="Millares 3 4 3" xfId="5161" xr:uid="{4F47FA31-7D60-4AF7-9331-F59BF6F17A00}"/>
    <cellStyle name="Millares 3 4 3 2" xfId="6851" xr:uid="{3D23A88D-B3E7-4F34-BC4D-F88533DFE856}"/>
    <cellStyle name="Millares 3 4 3 2 2" xfId="7174" xr:uid="{4BAA21F0-5AC9-4048-A69E-EAD7525F82BB}"/>
    <cellStyle name="Millares 3 4 3 2 2 2" xfId="7815" xr:uid="{D9135ACE-E5CB-4ADA-B475-0772F5DA1B07}"/>
    <cellStyle name="Millares 3 4 3 2 3" xfId="7492" xr:uid="{042B33F9-DA8D-4874-B638-F649B979245A}"/>
    <cellStyle name="Millares 3 4 3 3" xfId="7010" xr:uid="{E15E79CE-9293-4C52-8732-46C88D9D808B}"/>
    <cellStyle name="Millares 3 4 3 3 2" xfId="7651" xr:uid="{A4AF4ABF-3BAD-446A-8475-85A3A5B6C195}"/>
    <cellStyle name="Millares 3 4 3 4" xfId="7328" xr:uid="{BA24FED3-E86C-4F3A-8DB5-4717FEA0F104}"/>
    <cellStyle name="Millares 3 4 4" xfId="3793" xr:uid="{7A307155-36B2-4CBF-A5DD-1493F909D714}"/>
    <cellStyle name="Millares 3 4 4 2" xfId="6787" xr:uid="{97977AEF-B7BA-472E-8DAC-1A495CEC13D8}"/>
    <cellStyle name="Millares 3 4 4 2 2" xfId="7110" xr:uid="{8CB6CE4B-8E52-46F5-8B21-DE4BF88F70F2}"/>
    <cellStyle name="Millares 3 4 4 2 2 2" xfId="7751" xr:uid="{8AD2BFA1-F7B5-4E58-87CD-F0B4C4D2088C}"/>
    <cellStyle name="Millares 3 4 4 2 3" xfId="7428" xr:uid="{D7536700-2450-4881-92E0-0ECA6EFF8745}"/>
    <cellStyle name="Millares 3 4 4 3" xfId="6946" xr:uid="{9436DE22-D2C1-4182-A782-E3D18EB83566}"/>
    <cellStyle name="Millares 3 4 4 3 2" xfId="7587" xr:uid="{9F9A8ACE-4CC5-48A9-9EC7-4E198ECA80EC}"/>
    <cellStyle name="Millares 3 4 4 4" xfId="7266" xr:uid="{A23539D5-ADDD-41A3-AB67-1A65BB5BD25D}"/>
    <cellStyle name="Millares 3 4 5" xfId="6746" xr:uid="{A39C52D9-656C-45D6-BC70-A44964D58F40}"/>
    <cellStyle name="Millares 3 4 5 2" xfId="7069" xr:uid="{05BB4F91-FC29-465D-8692-42A10D5FAA32}"/>
    <cellStyle name="Millares 3 4 5 2 2" xfId="7710" xr:uid="{B1FDEBD2-4878-41EB-A761-0EBA2FE9B481}"/>
    <cellStyle name="Millares 3 4 5 3" xfId="7387" xr:uid="{44512224-D777-48A2-8925-2B8E582A01F2}"/>
    <cellStyle name="Millares 3 4 6" xfId="6915" xr:uid="{ED3B7E53-B10E-4101-9CE1-0C4AD01FAA8C}"/>
    <cellStyle name="Millares 3 4 6 2" xfId="7556" xr:uid="{1E57AACC-3E40-4087-91DE-32CE16DA2CE8}"/>
    <cellStyle name="Millares 3 4 7" xfId="7235" xr:uid="{8320ADE3-F9E6-4461-A87D-81DAEF3BB8BD}"/>
    <cellStyle name="Millares 3 5" xfId="1999" xr:uid="{926EBCC2-0138-4598-9057-6CA5DE7C8D60}"/>
    <cellStyle name="Millares 3 5 2" xfId="5162" xr:uid="{6B163236-A39B-4877-9EC4-27C23EE46DBB}"/>
    <cellStyle name="Millares 3 5 2 2" xfId="6852" xr:uid="{5C3391DF-4F74-41A7-8939-134EE8F4C0A2}"/>
    <cellStyle name="Millares 3 5 2 2 2" xfId="7175" xr:uid="{18B59908-90E5-4C56-93A3-18AFA1A2B7EB}"/>
    <cellStyle name="Millares 3 5 2 2 2 2" xfId="7816" xr:uid="{F1ACD2A0-B961-44D9-B3AE-4ED4FB380BA3}"/>
    <cellStyle name="Millares 3 5 2 2 3" xfId="7493" xr:uid="{1F8A119D-148F-488F-8E32-FBF950346DEA}"/>
    <cellStyle name="Millares 3 5 2 3" xfId="7011" xr:uid="{FD24CF44-4D51-4C86-8BF5-130988BE4A70}"/>
    <cellStyle name="Millares 3 5 2 3 2" xfId="7652" xr:uid="{09B53AC2-F2EC-4CAE-98AD-0E2D261BE9A5}"/>
    <cellStyle name="Millares 3 5 2 4" xfId="7329" xr:uid="{990DD5A9-11D9-4E24-928A-58DD814E8940}"/>
    <cellStyle name="Millares 3 5 3" xfId="5163" xr:uid="{A42F8627-F8AE-430E-B145-1122624BCB0A}"/>
    <cellStyle name="Millares 3 5 3 2" xfId="6853" xr:uid="{49CAC3BA-33F4-4D6D-BDC0-B2805B775D1E}"/>
    <cellStyle name="Millares 3 5 3 2 2" xfId="7176" xr:uid="{52B4E366-0417-4F62-B114-E48B944E76C9}"/>
    <cellStyle name="Millares 3 5 3 2 2 2" xfId="7817" xr:uid="{836D5D9D-6290-4CB7-AF6F-FF554FF09EF7}"/>
    <cellStyle name="Millares 3 5 3 2 3" xfId="7494" xr:uid="{F09145E1-34FB-44BA-BF44-C81CD3A0BADA}"/>
    <cellStyle name="Millares 3 5 3 3" xfId="7012" xr:uid="{78A8DACD-8927-4C57-88AC-02A0DA509006}"/>
    <cellStyle name="Millares 3 5 3 3 2" xfId="7653" xr:uid="{DD487308-46DA-43BC-821C-58F7C0F07558}"/>
    <cellStyle name="Millares 3 5 3 4" xfId="7330" xr:uid="{CB76528A-B499-4FB6-B71A-59527564CCF1}"/>
    <cellStyle name="Millares 3 5 4" xfId="3794" xr:uid="{C4B6A813-E7C5-40C9-8193-75CBB94A8BFE}"/>
    <cellStyle name="Millares 3 5 4 2" xfId="6788" xr:uid="{92EA1612-93EE-4A86-80CF-3C071E15949E}"/>
    <cellStyle name="Millares 3 5 4 2 2" xfId="7111" xr:uid="{21075694-D338-4ACA-B4FB-6391EF711455}"/>
    <cellStyle name="Millares 3 5 4 2 2 2" xfId="7752" xr:uid="{E20707D8-BD6F-4F55-9A12-739DECD53B94}"/>
    <cellStyle name="Millares 3 5 4 2 3" xfId="7429" xr:uid="{DEDAC8CF-A6D1-42EA-8AAB-08CCFCDAA44C}"/>
    <cellStyle name="Millares 3 5 4 3" xfId="6947" xr:uid="{9DB0A4B3-49D2-4D80-8C8B-F64B8D05AA86}"/>
    <cellStyle name="Millares 3 5 4 3 2" xfId="7588" xr:uid="{C6DA39F7-807A-4D5F-9D0F-E03FB0AE0D9C}"/>
    <cellStyle name="Millares 3 5 4 4" xfId="7267" xr:uid="{6D0B3D85-4A16-46BF-B7AF-150FF3B763E0}"/>
    <cellStyle name="Millares 3 5 5" xfId="6747" xr:uid="{1340C1B5-031E-4E5C-AE26-23E1B74B0555}"/>
    <cellStyle name="Millares 3 5 5 2" xfId="7070" xr:uid="{0E29C65F-0A2E-4E14-B6A3-E568B750BC7F}"/>
    <cellStyle name="Millares 3 5 5 2 2" xfId="7711" xr:uid="{33CC710C-251C-4044-8FFA-14E2FA5227E5}"/>
    <cellStyle name="Millares 3 5 5 3" xfId="7388" xr:uid="{0F3C393C-3FD9-4632-ADA1-DD6A925A4E29}"/>
    <cellStyle name="Millares 3 5 6" xfId="6916" xr:uid="{C7E76360-F437-442F-B8A3-ED16C3C9C1A8}"/>
    <cellStyle name="Millares 3 5 6 2" xfId="7557" xr:uid="{567786FD-73A0-44B1-A836-8551308D8600}"/>
    <cellStyle name="Millares 3 5 7" xfId="7236" xr:uid="{81E77883-1392-4298-86D7-700B67FBBBA4}"/>
    <cellStyle name="Millares 3 6" xfId="2000" xr:uid="{D01C6D45-43A7-4427-93ED-0EF9F9FAF100}"/>
    <cellStyle name="Millares 3 6 2" xfId="5164" xr:uid="{02A1B6B6-67E5-4903-8F0A-33FB5CB55B31}"/>
    <cellStyle name="Millares 3 6 2 2" xfId="6854" xr:uid="{5E7C2322-8B7E-4EEA-B5F2-7CB102C4209A}"/>
    <cellStyle name="Millares 3 6 2 2 2" xfId="7177" xr:uid="{CE41D463-C29E-4F4C-AB66-74783989D218}"/>
    <cellStyle name="Millares 3 6 2 2 2 2" xfId="7818" xr:uid="{892652C5-545C-4C65-BD00-1D9CDD6B0FB6}"/>
    <cellStyle name="Millares 3 6 2 2 3" xfId="7495" xr:uid="{D4A4C732-EA2C-4D8D-837D-C78C6A2024F2}"/>
    <cellStyle name="Millares 3 6 2 3" xfId="7013" xr:uid="{D35C1374-1924-449C-A4D2-E7339828B608}"/>
    <cellStyle name="Millares 3 6 2 3 2" xfId="7654" xr:uid="{00E23DB3-4854-4B19-855F-77D5845CD7F9}"/>
    <cellStyle name="Millares 3 6 2 4" xfId="7331" xr:uid="{C90640FD-09E8-4467-A8C8-AA25057C1138}"/>
    <cellStyle name="Millares 3 6 3" xfId="3795" xr:uid="{84994003-C295-4D0A-8835-C3174912FDA4}"/>
    <cellStyle name="Millares 3 6 3 2" xfId="6789" xr:uid="{DE984CA8-8361-4F27-8B9C-3A4F45E4EDAE}"/>
    <cellStyle name="Millares 3 6 3 2 2" xfId="7112" xr:uid="{6A099F6D-2FBA-41B1-BF43-886DD407DDEE}"/>
    <cellStyle name="Millares 3 6 3 2 2 2" xfId="7753" xr:uid="{F2A32640-E111-4736-B18B-CC5FC8065D89}"/>
    <cellStyle name="Millares 3 6 3 2 3" xfId="7430" xr:uid="{4166369E-F8FC-47EE-8691-0B8ED1D8DECB}"/>
    <cellStyle name="Millares 3 6 3 3" xfId="6948" xr:uid="{48449720-9D50-4D27-B953-A258D998EB9E}"/>
    <cellStyle name="Millares 3 6 3 3 2" xfId="7589" xr:uid="{D7229D57-876D-4EED-B256-39F2A2840FF6}"/>
    <cellStyle name="Millares 3 6 3 4" xfId="7268" xr:uid="{2C82E367-1B2C-4A81-9D9F-361C866683AA}"/>
    <cellStyle name="Millares 3 6 4" xfId="6748" xr:uid="{ADCCB835-026C-4955-8E26-8A7C0EF81F47}"/>
    <cellStyle name="Millares 3 6 4 2" xfId="7071" xr:uid="{001ADD59-ADC3-47CF-98C8-43F3F628B47F}"/>
    <cellStyle name="Millares 3 6 4 2 2" xfId="7712" xr:uid="{B5931357-9B5B-4A0D-A472-3506B61B1F7C}"/>
    <cellStyle name="Millares 3 6 4 3" xfId="7389" xr:uid="{CB25D6D9-93D1-4052-8EAB-EC5E83C14F94}"/>
    <cellStyle name="Millares 3 6 5" xfId="6917" xr:uid="{5B2658E0-B76F-46E0-9682-FA28DC4178E7}"/>
    <cellStyle name="Millares 3 6 5 2" xfId="7558" xr:uid="{9620BB9E-1117-41D1-8124-C4C6E8C7C7FF}"/>
    <cellStyle name="Millares 3 6 6" xfId="7237" xr:uid="{4C88A90D-24F5-4214-9F62-E8112E79E297}"/>
    <cellStyle name="Millares 3 7" xfId="2001" xr:uid="{44A9B87E-A70E-4BB2-978A-95D398B01876}"/>
    <cellStyle name="Millares 3 7 2" xfId="3796" xr:uid="{4E513D9D-4CA0-432A-AB0F-A65815450C6C}"/>
    <cellStyle name="Millares 3 7 2 2" xfId="6790" xr:uid="{B110B1A5-92BC-444E-A6D2-B8F1412579E1}"/>
    <cellStyle name="Millares 3 7 2 2 2" xfId="7113" xr:uid="{1485CAD7-0198-4561-8C3E-B5F45DA87E02}"/>
    <cellStyle name="Millares 3 7 2 2 2 2" xfId="7754" xr:uid="{08E6459A-0EC5-450D-BB8A-425497FA7387}"/>
    <cellStyle name="Millares 3 7 2 2 3" xfId="7431" xr:uid="{B6A41CA8-451C-4075-B7CC-10A5524B3AC8}"/>
    <cellStyle name="Millares 3 7 2 3" xfId="6949" xr:uid="{4F60C091-97C8-4467-9A67-A601A5B20BCD}"/>
    <cellStyle name="Millares 3 7 2 3 2" xfId="7590" xr:uid="{26A036E0-75A4-4DF7-A560-E6A4A26AAB55}"/>
    <cellStyle name="Millares 3 7 2 4" xfId="7269" xr:uid="{2F22695E-97EA-4961-A9D3-529F7E856CDB}"/>
    <cellStyle name="Millares 3 7 3" xfId="6749" xr:uid="{1688D9A4-CFB5-4E2B-B570-ABFD80D361D5}"/>
    <cellStyle name="Millares 3 7 3 2" xfId="7072" xr:uid="{DA6A871B-7E0E-4C9E-A403-B1BF7CB792EA}"/>
    <cellStyle name="Millares 3 7 3 2 2" xfId="7713" xr:uid="{D510D2B8-0535-41F1-A231-A55EFFA46E3C}"/>
    <cellStyle name="Millares 3 7 3 3" xfId="7390" xr:uid="{8BD94FE4-1301-451B-B6CF-E950C4375174}"/>
    <cellStyle name="Millares 3 7 4" xfId="6918" xr:uid="{345F2B4A-FBCB-49FA-B336-9A3A4499AC89}"/>
    <cellStyle name="Millares 3 7 4 2" xfId="7559" xr:uid="{09A5010D-A297-415D-8447-DB38EE64A0C2}"/>
    <cellStyle name="Millares 3 7 5" xfId="7238" xr:uid="{540F4268-6EBB-407F-9271-EEE39B510DE7}"/>
    <cellStyle name="Millares 3 8" xfId="2002" xr:uid="{B1FD6D86-0946-47BA-9AEA-F617239F8678}"/>
    <cellStyle name="Millares 3 8 2" xfId="3797" xr:uid="{9926B33D-C072-47BD-9DF9-3DE9723CB44F}"/>
    <cellStyle name="Millares 3 8 2 2" xfId="6791" xr:uid="{36EFF455-EEF9-4961-B165-BED7ABFE98EF}"/>
    <cellStyle name="Millares 3 8 2 2 2" xfId="7114" xr:uid="{A0A7233F-F9AC-40A6-AFED-6D5408412697}"/>
    <cellStyle name="Millares 3 8 2 2 2 2" xfId="7755" xr:uid="{D4F233A0-96E7-4925-9561-D9C33EB10B10}"/>
    <cellStyle name="Millares 3 8 2 2 3" xfId="7432" xr:uid="{9A93B8A1-B18C-4114-B338-67628CAADA4D}"/>
    <cellStyle name="Millares 3 8 2 3" xfId="6950" xr:uid="{8E49B037-1EE3-49B4-B2A6-938CE11A1EDA}"/>
    <cellStyle name="Millares 3 8 2 3 2" xfId="7591" xr:uid="{41484E7D-8F69-4C7C-B288-B4BC723B574C}"/>
    <cellStyle name="Millares 3 8 2 4" xfId="7270" xr:uid="{043935AF-F348-43AD-843D-1A87559079CF}"/>
    <cellStyle name="Millares 3 8 3" xfId="6750" xr:uid="{375DE637-2B3C-42CE-B848-643799D5B249}"/>
    <cellStyle name="Millares 3 8 3 2" xfId="7073" xr:uid="{5177EBC8-B62F-4AA6-A574-4D1BB1571052}"/>
    <cellStyle name="Millares 3 8 3 2 2" xfId="7714" xr:uid="{07BE2A6C-6AE3-4E62-8A4B-DBE37120EDCF}"/>
    <cellStyle name="Millares 3 8 3 3" xfId="7391" xr:uid="{A615DE4C-01F2-4759-A31B-9BD918F92A51}"/>
    <cellStyle name="Millares 3 8 4" xfId="6919" xr:uid="{6B6A101C-56C9-4F07-BC37-D6F0164D2C65}"/>
    <cellStyle name="Millares 3 8 4 2" xfId="7560" xr:uid="{1F3F1D3F-D7F9-43C4-A778-5480023AEFDD}"/>
    <cellStyle name="Millares 3 8 5" xfId="7239" xr:uid="{6E61985A-A3F4-4A47-ACB3-2AE67A59C7B3}"/>
    <cellStyle name="Millares 3 9" xfId="5165" xr:uid="{DD7A5887-5669-462C-82F6-F8FDAAB03701}"/>
    <cellStyle name="Millares 3 9 2" xfId="6855" xr:uid="{8021CC0F-0D1D-45E7-9B78-C44686072204}"/>
    <cellStyle name="Millares 3 9 2 2" xfId="7178" xr:uid="{91CF562E-651D-45E9-AEFC-0987AA597536}"/>
    <cellStyle name="Millares 3 9 2 2 2" xfId="7819" xr:uid="{895FB430-8E65-4744-BC0E-375F021089BF}"/>
    <cellStyle name="Millares 3 9 2 3" xfId="7496" xr:uid="{BB470F46-ACAE-451E-9CBE-49F7298928D7}"/>
    <cellStyle name="Millares 3 9 3" xfId="7014" xr:uid="{1A32FC52-67F5-42BA-A9C3-C501D71DF812}"/>
    <cellStyle name="Millares 3 9 3 2" xfId="7655" xr:uid="{407E1D36-E013-47E8-A614-30D0674A54E9}"/>
    <cellStyle name="Millares 3 9 4" xfId="7332" xr:uid="{C1879DCB-C4D2-496C-8A30-7E030D0854A3}"/>
    <cellStyle name="Millares 3_Deuda septiembre_marcos" xfId="2003" xr:uid="{38F12C1E-0F67-4BE3-B2FB-4BE0EAB0FE3C}"/>
    <cellStyle name="Millares 30" xfId="5166" xr:uid="{2A5425E7-32F5-4545-B9BF-4B0F09689361}"/>
    <cellStyle name="Millares 31" xfId="5167" xr:uid="{7321A162-BC48-44D0-BBDE-A84CCB027C57}"/>
    <cellStyle name="Millares 32" xfId="5168" xr:uid="{B6D894AD-71C2-4CA2-B8A6-F0806A7157CF}"/>
    <cellStyle name="Millares 32 2" xfId="6856" xr:uid="{74549F10-CF54-423C-BE7E-F91997ACB0F5}"/>
    <cellStyle name="Millares 32 2 2" xfId="7179" xr:uid="{E06E4255-9F34-4154-9649-F08CE393D48E}"/>
    <cellStyle name="Millares 32 2 2 2" xfId="7820" xr:uid="{0A65DC2C-2AC9-4B69-83C0-1F4ACBEAA495}"/>
    <cellStyle name="Millares 32 2 3" xfId="7497" xr:uid="{BD176A49-CB3F-4F1C-81AA-8B1B0436C7B2}"/>
    <cellStyle name="Millares 32 3" xfId="7015" xr:uid="{D622D667-B8A2-46F0-8488-802283953F46}"/>
    <cellStyle name="Millares 32 3 2" xfId="7656" xr:uid="{AAD3D75E-AA01-46E7-8288-869DBB43DA1D}"/>
    <cellStyle name="Millares 32 4" xfId="7333" xr:uid="{1E12EA01-335E-437C-9A6A-6CF1D37CEC80}"/>
    <cellStyle name="Millares 33" xfId="3818" xr:uid="{C806F024-66FC-4952-8A02-574CC4685309}"/>
    <cellStyle name="Millares 33 2" xfId="6811" xr:uid="{903C248D-3DD8-45EB-87DD-B32EC9FE5EAB}"/>
    <cellStyle name="Millares 33 2 2" xfId="7134" xr:uid="{868E1DF1-DA3F-4BE8-BB68-498CBF85B92E}"/>
    <cellStyle name="Millares 33 2 2 2" xfId="7775" xr:uid="{7C64B0C3-644C-4E3F-898C-0C17FAF350D6}"/>
    <cellStyle name="Millares 33 2 3" xfId="7452" xr:uid="{8F1F11D8-5C29-4C5E-85C4-FCCC06BCDA4B}"/>
    <cellStyle name="Millares 33 3" xfId="6970" xr:uid="{ACB82040-0DBF-457A-AA60-EE9495641C2A}"/>
    <cellStyle name="Millares 33 3 2" xfId="7611" xr:uid="{FBD74211-8061-45A9-8450-D5F121D50011}"/>
    <cellStyle name="Millares 33 4" xfId="7290" xr:uid="{902C6F82-0004-4E79-9C4D-3E4AA27C5075}"/>
    <cellStyle name="Millares 34" xfId="7344" xr:uid="{74053D83-1B13-4A99-91D7-561AB3DDD302}"/>
    <cellStyle name="Millares 35" xfId="7343" xr:uid="{5DAE3E8A-F9AC-4BA0-97F4-86979CF4A59E}"/>
    <cellStyle name="Millares 36" xfId="7229" xr:uid="{9E3A4472-89E8-423F-9DF5-1DF187F5FE6C}"/>
    <cellStyle name="Millares 37" xfId="7860" xr:uid="{37AD6EE8-45C8-4908-A742-52EC8388404E}"/>
    <cellStyle name="Millares 38" xfId="7861" xr:uid="{2D8B1C58-1EC5-424C-BD9C-9DDF1EA5C085}"/>
    <cellStyle name="Millares 39" xfId="7864" xr:uid="{5867BC79-31A3-4E0F-BCDD-CC1AFBE5093A}"/>
    <cellStyle name="Millares 4" xfId="2004" xr:uid="{509712BA-F2BC-452A-8D20-4D8630C23FFD}"/>
    <cellStyle name="Millares 4 2" xfId="2005" xr:uid="{FD76A1AC-EBFE-41F4-B168-F7A2A04D6BCE}"/>
    <cellStyle name="Millares 4 2 2" xfId="5169" xr:uid="{B9AC1566-6468-4421-A455-6928CFB79398}"/>
    <cellStyle name="Millares 4 3" xfId="2006" xr:uid="{94EA0917-C073-4B20-9700-67BBD8F5FA03}"/>
    <cellStyle name="Millares 4 3 2" xfId="5170" xr:uid="{1F6DE94C-9EE3-4652-A2EC-C27667A7F746}"/>
    <cellStyle name="Millares 4 4" xfId="2007" xr:uid="{4FA122C2-3992-4DE3-BB9D-996C8915619B}"/>
    <cellStyle name="Millares 4 4 2" xfId="5171" xr:uid="{10CF0AE4-0D6A-4657-BCFC-FE848A638029}"/>
    <cellStyle name="Millares 4 5" xfId="2008" xr:uid="{77B26DD0-5708-4950-9FB1-E4977CDC4351}"/>
    <cellStyle name="Millares 4 5 2" xfId="5172" xr:uid="{5575488E-96E8-4E73-996A-2F73D3C5E22A}"/>
    <cellStyle name="Millares 4 6" xfId="2009" xr:uid="{D3C730FC-A092-4992-9A1A-397EC5A5CB85}"/>
    <cellStyle name="Millares 4 6 2" xfId="5173" xr:uid="{07EAEB01-D941-4012-96FE-348E5027731D}"/>
    <cellStyle name="Millares 4 7" xfId="2010" xr:uid="{6D426F7A-DDC7-4AB3-9A48-D71000459C60}"/>
    <cellStyle name="Millares 4 8" xfId="2011" xr:uid="{C378C7B3-7974-433A-B8E9-B4E058C3A82A}"/>
    <cellStyle name="Millares 4_Graficos 2009" xfId="2012" xr:uid="{5B0071B2-3088-42E6-864E-5D2724C69ADC}"/>
    <cellStyle name="Millares 40" xfId="7865" xr:uid="{8FC8DB49-82FB-45AE-A8E1-90D5EC6FAFD6}"/>
    <cellStyle name="Millares 41" xfId="7866" xr:uid="{D2F03AB5-6EAD-495C-95E3-2496791753E7}"/>
    <cellStyle name="Millares 42" xfId="7871" xr:uid="{603396E5-BC77-461F-981F-883DDAC9ADA5}"/>
    <cellStyle name="Millares 43" xfId="7870" xr:uid="{B007E177-42A1-46B6-985B-0541BC4F2CEA}"/>
    <cellStyle name="Millares 5" xfId="2013" xr:uid="{F8664273-102D-4297-9602-690C6F5C22D5}"/>
    <cellStyle name="Millares 5 10" xfId="6751" xr:uid="{0969EB5C-9678-431F-94D5-0F69D9CBF365}"/>
    <cellStyle name="Millares 5 10 2" xfId="7074" xr:uid="{1FEED93E-AB3C-492A-9C45-43D27EE8346C}"/>
    <cellStyle name="Millares 5 10 2 2" xfId="7715" xr:uid="{6F8A6484-AD63-4188-B531-881394D9D122}"/>
    <cellStyle name="Millares 5 10 3" xfId="7392" xr:uid="{393DF9B2-566F-4918-B582-A8109FC7F6D3}"/>
    <cellStyle name="Millares 5 11" xfId="6920" xr:uid="{2B2E6AF0-FA20-4A26-AD38-390ED90CCEA2}"/>
    <cellStyle name="Millares 5 11 2" xfId="7561" xr:uid="{956FC5CE-7EF5-4CE8-8500-059F0362A96F}"/>
    <cellStyle name="Millares 5 12" xfId="7240" xr:uid="{FD1AE94F-E6FD-4C2C-AFC1-C250C183521F}"/>
    <cellStyle name="Millares 5 2" xfId="2014" xr:uid="{C21A5BB7-9A69-44FC-A1CE-7F3EC7DB1E1C}"/>
    <cellStyle name="Millares 5 2 2" xfId="5174" xr:uid="{B5C0A9A0-01B0-4E3A-8D01-3DDA386038FE}"/>
    <cellStyle name="Millares 5 2 2 2" xfId="6857" xr:uid="{7151583A-D5E7-4B23-98E3-4657C1C16C70}"/>
    <cellStyle name="Millares 5 2 2 2 2" xfId="7180" xr:uid="{0C5202A1-CCF7-4FAA-B51E-E562166E98F1}"/>
    <cellStyle name="Millares 5 2 2 2 2 2" xfId="7821" xr:uid="{0A0A52B4-7006-4A41-9924-BA8C4F899361}"/>
    <cellStyle name="Millares 5 2 2 2 3" xfId="7498" xr:uid="{BF35301D-25AB-4E83-8E98-856F581F5771}"/>
    <cellStyle name="Millares 5 2 2 3" xfId="7016" xr:uid="{A3CB93A5-7922-4049-8FE0-828E915ED2A7}"/>
    <cellStyle name="Millares 5 2 2 3 2" xfId="7657" xr:uid="{B387EFEF-7F21-4431-9F07-A325BCACD7F7}"/>
    <cellStyle name="Millares 5 2 2 4" xfId="7334" xr:uid="{E6A56735-D80B-4817-9566-16968F547E52}"/>
    <cellStyle name="Millares 5 2 3" xfId="3799" xr:uid="{E81DB012-9403-4E35-A71B-2E05A26574A1}"/>
    <cellStyle name="Millares 5 2 3 2" xfId="6793" xr:uid="{2FE3C63C-8E5E-4BCA-9BEB-A8BC33EE5745}"/>
    <cellStyle name="Millares 5 2 3 2 2" xfId="7116" xr:uid="{FFA775D7-CD83-4BE5-8A82-19C15DB0CA4F}"/>
    <cellStyle name="Millares 5 2 3 2 2 2" xfId="7757" xr:uid="{94057913-452F-4D44-BAD1-8DB4ADDD05C9}"/>
    <cellStyle name="Millares 5 2 3 2 3" xfId="7434" xr:uid="{AEB2DB44-07E2-4817-B989-062D4FE79BDD}"/>
    <cellStyle name="Millares 5 2 3 3" xfId="6952" xr:uid="{F0645402-5706-4502-8F12-C658C9F3CA1F}"/>
    <cellStyle name="Millares 5 2 3 3 2" xfId="7593" xr:uid="{A5FE5E74-7F94-4031-872F-7355E3617CFE}"/>
    <cellStyle name="Millares 5 2 3 4" xfId="7272" xr:uid="{92FDAB48-3FB7-4799-AC4D-BF9120B41119}"/>
    <cellStyle name="Millares 5 2 4" xfId="6752" xr:uid="{BB17C865-B993-4314-8C73-DAA9AEEB9D3A}"/>
    <cellStyle name="Millares 5 2 4 2" xfId="7075" xr:uid="{ED42721E-8AA0-43E4-AF39-87AE2694B720}"/>
    <cellStyle name="Millares 5 2 4 2 2" xfId="7716" xr:uid="{FF919AF0-0AB4-45CE-9D44-54D66EB82441}"/>
    <cellStyle name="Millares 5 2 4 3" xfId="7393" xr:uid="{6D02C108-3797-4FF3-AEC7-610A04784984}"/>
    <cellStyle name="Millares 5 2 5" xfId="6921" xr:uid="{47040A53-2EAB-43F1-89C1-48E88EA4DE5D}"/>
    <cellStyle name="Millares 5 2 5 2" xfId="7562" xr:uid="{6B2A80F6-867E-4DFC-B96A-FE0FD78F087E}"/>
    <cellStyle name="Millares 5 2 6" xfId="7241" xr:uid="{360157BE-5902-4A06-832F-91F421947DC5}"/>
    <cellStyle name="Millares 5 3" xfId="2015" xr:uid="{E45ADEFF-7F7F-4D13-A8BC-A2149F44580B}"/>
    <cellStyle name="Millares 5 3 2" xfId="5175" xr:uid="{FB111033-3F55-421B-BDA0-BD48FF06D1D8}"/>
    <cellStyle name="Millares 5 3 2 2" xfId="6858" xr:uid="{B87B1A48-CDD3-4149-AC2F-3E9BF6099E6F}"/>
    <cellStyle name="Millares 5 3 2 2 2" xfId="7181" xr:uid="{568C1E50-9BAD-4CD1-B2E4-14886BA14DF8}"/>
    <cellStyle name="Millares 5 3 2 2 2 2" xfId="7822" xr:uid="{728273FD-E82B-4CD7-845D-D4A020E14DA9}"/>
    <cellStyle name="Millares 5 3 2 2 3" xfId="7499" xr:uid="{1E7FD3BA-8B66-4436-ACB0-3543B9D26F43}"/>
    <cellStyle name="Millares 5 3 2 3" xfId="7017" xr:uid="{C9AEE078-38CA-4550-BB02-9CB5A374E919}"/>
    <cellStyle name="Millares 5 3 2 3 2" xfId="7658" xr:uid="{AA19E769-DE71-4272-A527-653614AAACA4}"/>
    <cellStyle name="Millares 5 3 2 4" xfId="7335" xr:uid="{C57C8005-3AA7-49C5-BC20-7315B589B977}"/>
    <cellStyle name="Millares 5 3 3" xfId="3800" xr:uid="{B8C38885-51C4-495C-A279-2195C4B37C86}"/>
    <cellStyle name="Millares 5 3 3 2" xfId="6794" xr:uid="{A8CE77CE-9630-4751-BFC7-DD436873CB95}"/>
    <cellStyle name="Millares 5 3 3 2 2" xfId="7117" xr:uid="{AB996D6B-5877-4B99-A812-908C5FF8754A}"/>
    <cellStyle name="Millares 5 3 3 2 2 2" xfId="7758" xr:uid="{54C2B342-CCCF-41FF-9174-6F8C54490F08}"/>
    <cellStyle name="Millares 5 3 3 2 3" xfId="7435" xr:uid="{0EC090BB-AC3F-4035-A4AD-AC51C947805B}"/>
    <cellStyle name="Millares 5 3 3 3" xfId="6953" xr:uid="{639A98C3-39D9-4B87-A51D-CC7EFBC58649}"/>
    <cellStyle name="Millares 5 3 3 3 2" xfId="7594" xr:uid="{45035A90-BEA0-4F60-BF8E-E21A948EB332}"/>
    <cellStyle name="Millares 5 3 3 4" xfId="7273" xr:uid="{A7185B59-7A8F-429B-B992-9DF9EB3325E4}"/>
    <cellStyle name="Millares 5 3 4" xfId="6753" xr:uid="{78F1A702-177E-4D23-A97E-1A8DBEDE829B}"/>
    <cellStyle name="Millares 5 3 4 2" xfId="7076" xr:uid="{88928A52-F19E-40A3-8613-C8F9A8B48F31}"/>
    <cellStyle name="Millares 5 3 4 2 2" xfId="7717" xr:uid="{67D3D5C0-EA35-43EC-8C0F-824379EA6537}"/>
    <cellStyle name="Millares 5 3 4 3" xfId="7394" xr:uid="{416FB4B1-6E08-4479-9A55-7FC78C36135B}"/>
    <cellStyle name="Millares 5 3 5" xfId="6922" xr:uid="{7008D25B-AE1F-4497-BD70-E3F1F866D202}"/>
    <cellStyle name="Millares 5 3 5 2" xfId="7563" xr:uid="{CA138BB1-65F8-4495-A839-FDFDD2F25FCD}"/>
    <cellStyle name="Millares 5 3 6" xfId="7242" xr:uid="{C6B75443-D1DB-4BAC-9965-E481FE25B4CC}"/>
    <cellStyle name="Millares 5 4" xfId="2016" xr:uid="{30633823-ECC8-4DF9-B1BA-062737D98F5A}"/>
    <cellStyle name="Millares 5 4 2" xfId="5176" xr:uid="{5FD8F74F-E963-4707-9CC8-14C735C20783}"/>
    <cellStyle name="Millares 5 4 2 2" xfId="6859" xr:uid="{03E1D01A-92A7-4F0D-B91E-2BBB6C682F0E}"/>
    <cellStyle name="Millares 5 4 2 2 2" xfId="7182" xr:uid="{FD4B472D-E046-4898-AD54-9A84B23B6048}"/>
    <cellStyle name="Millares 5 4 2 2 2 2" xfId="7823" xr:uid="{0052BC9F-C0A3-4373-9AC0-3F3DF529FB06}"/>
    <cellStyle name="Millares 5 4 2 2 3" xfId="7500" xr:uid="{2B2E87E3-3E7E-41B0-BCA0-92EFDC56DFB2}"/>
    <cellStyle name="Millares 5 4 2 3" xfId="7018" xr:uid="{089E492C-E0DD-46A0-AE92-4209215C8804}"/>
    <cellStyle name="Millares 5 4 2 3 2" xfId="7659" xr:uid="{56C17FDC-D998-4072-AB5C-1CA38AEE2387}"/>
    <cellStyle name="Millares 5 4 2 4" xfId="7336" xr:uid="{D22766FA-7134-4337-895A-016EC4721BC7}"/>
    <cellStyle name="Millares 5 4 3" xfId="3801" xr:uid="{2DBBE51E-268F-42A2-A5B4-3765F24DE15D}"/>
    <cellStyle name="Millares 5 4 3 2" xfId="6795" xr:uid="{200931DC-F971-4C3F-9626-F1ED688E4081}"/>
    <cellStyle name="Millares 5 4 3 2 2" xfId="7118" xr:uid="{DBE2483A-2043-4C8C-8F94-213771F0FF3A}"/>
    <cellStyle name="Millares 5 4 3 2 2 2" xfId="7759" xr:uid="{E063C2B2-DF42-49AB-8C44-C8801B8988F1}"/>
    <cellStyle name="Millares 5 4 3 2 3" xfId="7436" xr:uid="{F495FEBF-DE78-4764-9531-0B357D58EC56}"/>
    <cellStyle name="Millares 5 4 3 3" xfId="6954" xr:uid="{3A535F24-6D83-4C6A-878D-71A6F12D93D3}"/>
    <cellStyle name="Millares 5 4 3 3 2" xfId="7595" xr:uid="{2DD85D0F-1AB5-42FB-8B45-B9871B974022}"/>
    <cellStyle name="Millares 5 4 3 4" xfId="7274" xr:uid="{A71A0479-62EE-4CEE-B37A-DE9DA057742E}"/>
    <cellStyle name="Millares 5 4 4" xfId="6754" xr:uid="{3E52BE9C-1859-4806-811C-8132173EE688}"/>
    <cellStyle name="Millares 5 4 4 2" xfId="7077" xr:uid="{E8D6D5D7-0F21-4AC8-B9B0-43B7124ACDF2}"/>
    <cellStyle name="Millares 5 4 4 2 2" xfId="7718" xr:uid="{1828AD17-E591-4A0C-8ED2-7F7E10261CCA}"/>
    <cellStyle name="Millares 5 4 4 3" xfId="7395" xr:uid="{6D8B3B3C-06DE-4804-A889-BDC642C59F8B}"/>
    <cellStyle name="Millares 5 4 5" xfId="6923" xr:uid="{4BF397D4-026D-4958-8B30-CA2EE58F55FD}"/>
    <cellStyle name="Millares 5 4 5 2" xfId="7564" xr:uid="{520EAC96-30A4-42FB-9B72-9FD9DF2259AA}"/>
    <cellStyle name="Millares 5 4 6" xfId="7243" xr:uid="{76388A8A-E7EA-4B1E-AD0A-241C0C9B8C58}"/>
    <cellStyle name="Millares 5 5" xfId="2017" xr:uid="{FC9E05F0-D6E0-4816-A7B0-D8612D1C5C4F}"/>
    <cellStyle name="Millares 5 5 2" xfId="5177" xr:uid="{0AA8CF8A-A839-44E6-8195-69484C19FE03}"/>
    <cellStyle name="Millares 5 5 2 2" xfId="6860" xr:uid="{AD67EEC4-B458-4F02-86B8-2DEB4FB1DF71}"/>
    <cellStyle name="Millares 5 5 2 2 2" xfId="7183" xr:uid="{50C2D656-293C-41E5-9C37-5AB9D7366F95}"/>
    <cellStyle name="Millares 5 5 2 2 2 2" xfId="7824" xr:uid="{53F8801E-26E8-4F2F-8881-6792A74E50C4}"/>
    <cellStyle name="Millares 5 5 2 2 3" xfId="7501" xr:uid="{9975CEE6-279B-4D0C-9CD8-FA2BED4456FF}"/>
    <cellStyle name="Millares 5 5 2 3" xfId="7019" xr:uid="{A1D307B4-D558-4916-A588-E1D242B312C2}"/>
    <cellStyle name="Millares 5 5 2 3 2" xfId="7660" xr:uid="{38698B14-295E-40C0-9D84-0CB6981E193A}"/>
    <cellStyle name="Millares 5 5 2 4" xfId="7337" xr:uid="{0EDD5DF0-DBC1-45F9-8083-FAB5414E5864}"/>
    <cellStyle name="Millares 5 5 3" xfId="3802" xr:uid="{5054649C-2007-4AFC-9952-1BE8BF5F914E}"/>
    <cellStyle name="Millares 5 5 3 2" xfId="6796" xr:uid="{C2DBD61D-14EC-4D9E-9F1E-7A53E0CFA590}"/>
    <cellStyle name="Millares 5 5 3 2 2" xfId="7119" xr:uid="{BA47A06B-9E6C-4AB3-8237-612638436CA8}"/>
    <cellStyle name="Millares 5 5 3 2 2 2" xfId="7760" xr:uid="{FAC17AA7-D07F-4984-9514-B76BE282682E}"/>
    <cellStyle name="Millares 5 5 3 2 3" xfId="7437" xr:uid="{F56E504C-6032-4BAA-80E2-9F2690A7BC1A}"/>
    <cellStyle name="Millares 5 5 3 3" xfId="6955" xr:uid="{CA6046AA-28B8-40A9-BB60-D01CF4A0F044}"/>
    <cellStyle name="Millares 5 5 3 3 2" xfId="7596" xr:uid="{F00BDD4C-F9A0-4D5A-9DF8-772BB442CB9E}"/>
    <cellStyle name="Millares 5 5 3 4" xfId="7275" xr:uid="{354B7680-85B8-4AAB-A083-836986FB3C07}"/>
    <cellStyle name="Millares 5 5 4" xfId="6755" xr:uid="{6A7E9EF5-02E8-4BD7-89B0-B0AB44BD3914}"/>
    <cellStyle name="Millares 5 5 4 2" xfId="7078" xr:uid="{DB1603A5-98A4-4549-80B2-873E54288494}"/>
    <cellStyle name="Millares 5 5 4 2 2" xfId="7719" xr:uid="{5501B293-C301-48F0-AEA1-BB6DAD94641A}"/>
    <cellStyle name="Millares 5 5 4 3" xfId="7396" xr:uid="{FBE92BDE-379F-4B04-B991-CB3776812AAA}"/>
    <cellStyle name="Millares 5 5 5" xfId="6924" xr:uid="{1028C00F-BBC0-4565-A389-7FBF7CD6E074}"/>
    <cellStyle name="Millares 5 5 5 2" xfId="7565" xr:uid="{F0553043-D3BC-417D-8ABB-19265D8B326F}"/>
    <cellStyle name="Millares 5 5 6" xfId="7244" xr:uid="{977300A3-7BD3-4F49-B2B1-C30F295FFC37}"/>
    <cellStyle name="Millares 5 6" xfId="2018" xr:uid="{91ED0733-F01C-432A-B21B-8D1E0C109A02}"/>
    <cellStyle name="Millares 5 6 2" xfId="5178" xr:uid="{84D351BD-EC40-4B93-9B22-071F94D99AFE}"/>
    <cellStyle name="Millares 5 6 2 2" xfId="6861" xr:uid="{7AD0CA3C-BB7B-4F8F-8ACB-FBD4F2C4FA3E}"/>
    <cellStyle name="Millares 5 6 2 2 2" xfId="7184" xr:uid="{93BBDF9E-5BB9-4EC7-BDAE-AAF341DE7328}"/>
    <cellStyle name="Millares 5 6 2 2 2 2" xfId="7825" xr:uid="{7A118D0F-5BE6-4567-89B3-8A3A896D1682}"/>
    <cellStyle name="Millares 5 6 2 2 3" xfId="7502" xr:uid="{07A166F7-6663-4C25-8A1B-0B17D7270B82}"/>
    <cellStyle name="Millares 5 6 2 3" xfId="7020" xr:uid="{E9CA1BBC-9E74-4B86-89D9-2F2569CF563D}"/>
    <cellStyle name="Millares 5 6 2 3 2" xfId="7661" xr:uid="{43011681-5439-4F2D-8E6C-20F63092F38A}"/>
    <cellStyle name="Millares 5 6 2 4" xfId="7338" xr:uid="{12499931-70F3-4280-B8C7-BFAD6F4561D0}"/>
    <cellStyle name="Millares 5 6 3" xfId="3803" xr:uid="{E1566568-31C7-48B9-93B5-AF717597F1DE}"/>
    <cellStyle name="Millares 5 6 3 2" xfId="6797" xr:uid="{3380E45F-B936-49FC-8F25-C994C57EB89D}"/>
    <cellStyle name="Millares 5 6 3 2 2" xfId="7120" xr:uid="{1269728D-BD87-4165-8A4E-E9EBCF77EAEF}"/>
    <cellStyle name="Millares 5 6 3 2 2 2" xfId="7761" xr:uid="{A1A8F6FC-A428-4075-8AE6-F4C186557F2B}"/>
    <cellStyle name="Millares 5 6 3 2 3" xfId="7438" xr:uid="{CE5FAE57-4BD1-4C7A-8B3F-EFBD69DE5D6C}"/>
    <cellStyle name="Millares 5 6 3 3" xfId="6956" xr:uid="{133A61C1-56C9-4E85-B1F8-6B9283B2E52D}"/>
    <cellStyle name="Millares 5 6 3 3 2" xfId="7597" xr:uid="{BF4FCAAF-E7E0-404D-AA96-FDA72E1B0DA2}"/>
    <cellStyle name="Millares 5 6 3 4" xfId="7276" xr:uid="{9C6E5877-8C8B-4FDD-AEC8-B307105645D0}"/>
    <cellStyle name="Millares 5 6 4" xfId="6756" xr:uid="{18E63123-D17D-46FD-89E7-B1F4DFC4CAC6}"/>
    <cellStyle name="Millares 5 6 4 2" xfId="7079" xr:uid="{92480591-64C9-49BA-9E0B-2D72CA4EAD9E}"/>
    <cellStyle name="Millares 5 6 4 2 2" xfId="7720" xr:uid="{7C61EE31-FFFD-4058-B7CB-3C66D9CCF10C}"/>
    <cellStyle name="Millares 5 6 4 3" xfId="7397" xr:uid="{A7A7223E-80B9-44C9-95C1-F9D0FB6BCF1B}"/>
    <cellStyle name="Millares 5 6 5" xfId="6925" xr:uid="{B75914DE-436B-4919-BCCE-541DCA9222BD}"/>
    <cellStyle name="Millares 5 6 5 2" xfId="7566" xr:uid="{C3E544E1-6050-4175-A149-6A68DE32CDE8}"/>
    <cellStyle name="Millares 5 6 6" xfId="7245" xr:uid="{C150333C-6BBB-4041-8712-77159CC601F4}"/>
    <cellStyle name="Millares 5 7" xfId="2019" xr:uid="{5AB2217D-4684-44D8-92B5-2CAE1F2F7B1F}"/>
    <cellStyle name="Millares 5 7 2" xfId="3804" xr:uid="{D0A1CECE-4490-402E-8108-DD8D92A5AD2C}"/>
    <cellStyle name="Millares 5 7 2 2" xfId="6798" xr:uid="{A070F603-895D-46C1-BCE1-DEE746E6D1D6}"/>
    <cellStyle name="Millares 5 7 2 2 2" xfId="7121" xr:uid="{F9BE5F50-2DA0-496B-A41A-5DAA7ED97C8A}"/>
    <cellStyle name="Millares 5 7 2 2 2 2" xfId="7762" xr:uid="{9D08841B-473E-4C7F-BBB9-6F66E6B3D394}"/>
    <cellStyle name="Millares 5 7 2 2 3" xfId="7439" xr:uid="{977A579B-1F12-48FB-8F0D-7B9A3F02EBCF}"/>
    <cellStyle name="Millares 5 7 2 3" xfId="6957" xr:uid="{4797B618-105F-4789-AD29-C4F726CEA1B8}"/>
    <cellStyle name="Millares 5 7 2 3 2" xfId="7598" xr:uid="{66732D13-00D2-4F6B-A95A-09ACB1EE660E}"/>
    <cellStyle name="Millares 5 7 2 4" xfId="7277" xr:uid="{5A7139F0-1EA2-4D47-B468-ADB60141FE69}"/>
    <cellStyle name="Millares 5 7 3" xfId="6757" xr:uid="{FF972234-6577-44F4-9D92-36C3BB72F41F}"/>
    <cellStyle name="Millares 5 7 3 2" xfId="7080" xr:uid="{887CCF9E-A52C-45F6-8FA4-A7AB4009624E}"/>
    <cellStyle name="Millares 5 7 3 2 2" xfId="7721" xr:uid="{9023C59D-B209-4664-8F19-47F19649AA1A}"/>
    <cellStyle name="Millares 5 7 3 3" xfId="7398" xr:uid="{14DBC1E1-ED79-4D45-AB5B-D267C614A316}"/>
    <cellStyle name="Millares 5 7 4" xfId="6926" xr:uid="{7B475A74-9439-4390-9946-76A5C7D725DC}"/>
    <cellStyle name="Millares 5 7 4 2" xfId="7567" xr:uid="{2DDC7CA1-2167-4115-A0D0-C70BE1FDA467}"/>
    <cellStyle name="Millares 5 7 5" xfId="7246" xr:uid="{7DC5B4E4-9411-4E61-9935-76AE9C044DC5}"/>
    <cellStyle name="Millares 5 8" xfId="2020" xr:uid="{8495B64F-8E56-4F90-AC6D-B84AE07A75CD}"/>
    <cellStyle name="Millares 5 8 2" xfId="3805" xr:uid="{45DBCA10-DE8B-4FC2-B710-806F3097D8B4}"/>
    <cellStyle name="Millares 5 8 2 2" xfId="6799" xr:uid="{49AB465E-F580-4F04-9B0A-99E71417AB3E}"/>
    <cellStyle name="Millares 5 8 2 2 2" xfId="7122" xr:uid="{099421B4-B488-4655-8270-9D7CF82CA3AD}"/>
    <cellStyle name="Millares 5 8 2 2 2 2" xfId="7763" xr:uid="{FC4CD6F0-27EE-4184-B8C7-88F00A885BAF}"/>
    <cellStyle name="Millares 5 8 2 2 3" xfId="7440" xr:uid="{F1645AAA-FE9A-4920-80DD-8710C52CF09B}"/>
    <cellStyle name="Millares 5 8 2 3" xfId="6958" xr:uid="{C460F1C1-4043-4C9A-BA8B-DC760C04E177}"/>
    <cellStyle name="Millares 5 8 2 3 2" xfId="7599" xr:uid="{87E6BD3E-E834-4232-A177-237899797A7D}"/>
    <cellStyle name="Millares 5 8 2 4" xfId="7278" xr:uid="{EB90476F-41A3-416F-9812-3D5B21DDD6A7}"/>
    <cellStyle name="Millares 5 8 3" xfId="6758" xr:uid="{E790B5BA-9EF0-44B9-AD3F-349D3A9EA01A}"/>
    <cellStyle name="Millares 5 8 3 2" xfId="7081" xr:uid="{6E64DFE5-DB99-4100-94EF-9A0004770A2E}"/>
    <cellStyle name="Millares 5 8 3 2 2" xfId="7722" xr:uid="{B565F702-8323-4415-B8DC-9597488FE02B}"/>
    <cellStyle name="Millares 5 8 3 3" xfId="7399" xr:uid="{7E816FD1-E667-48CA-B427-2BA4D694E3E9}"/>
    <cellStyle name="Millares 5 8 4" xfId="6927" xr:uid="{38A19F0D-551F-4E2A-917F-081346944BBB}"/>
    <cellStyle name="Millares 5 8 4 2" xfId="7568" xr:uid="{7B1E4EF2-9A8D-49E8-AF67-443EBC385C20}"/>
    <cellStyle name="Millares 5 8 5" xfId="7247" xr:uid="{EA290B66-5626-4AB6-BCCF-31AD88B2A96B}"/>
    <cellStyle name="Millares 5 9" xfId="3798" xr:uid="{E779C1C8-089F-488B-96FF-4F9CD71A32C3}"/>
    <cellStyle name="Millares 5 9 2" xfId="6792" xr:uid="{3BE07E42-B62D-4CB0-9DEC-694E83AB0C3A}"/>
    <cellStyle name="Millares 5 9 2 2" xfId="7115" xr:uid="{5A4D2940-34D8-4CE7-83F5-C5B514CCD7F7}"/>
    <cellStyle name="Millares 5 9 2 2 2" xfId="7756" xr:uid="{487A1C80-2426-410C-A3A7-DC70D9F909D6}"/>
    <cellStyle name="Millares 5 9 2 3" xfId="7433" xr:uid="{14BEC9BC-8681-4386-A2EB-03DB6289C3A2}"/>
    <cellStyle name="Millares 5 9 3" xfId="6951" xr:uid="{A0B95229-659A-42F5-A17E-9F1DE4ECC973}"/>
    <cellStyle name="Millares 5 9 3 2" xfId="7592" xr:uid="{663DE104-9458-4DFF-8860-5BA67B146BCA}"/>
    <cellStyle name="Millares 5 9 4" xfId="7271" xr:uid="{ADFF12FC-4849-4FD1-A151-6EE17C246B24}"/>
    <cellStyle name="Millares 5_Deuda septiembre_marcos" xfId="2021" xr:uid="{DDADAED9-9C3D-4F42-ADEC-52554E965363}"/>
    <cellStyle name="Millares 6" xfId="2022" xr:uid="{BDA93D60-B83D-42AC-87B9-08D1BAFB3812}"/>
    <cellStyle name="Millares 6 2" xfId="2023" xr:uid="{FC505FBB-D3C9-4153-9151-A1A8674E3B43}"/>
    <cellStyle name="Millares 6 2 2" xfId="5179" xr:uid="{9B129FE1-FF96-44E1-832E-432F43A0E269}"/>
    <cellStyle name="Millares 6 3" xfId="2024" xr:uid="{CEA55C8B-F460-43D9-ADE0-395722BE2564}"/>
    <cellStyle name="Millares 6 3 2" xfId="5180" xr:uid="{925B6E89-04F0-4AC0-85BD-2A120E09935E}"/>
    <cellStyle name="Millares 6 4" xfId="2025" xr:uid="{BA34F175-8AA7-410C-B324-8BE21D1AA2E1}"/>
    <cellStyle name="Millares 6 4 2" xfId="5181" xr:uid="{E86D8770-DB8B-449E-B4B1-D75D5C81AF07}"/>
    <cellStyle name="Millares 6 5" xfId="2026" xr:uid="{7A0EE43C-3B67-46DD-9DF8-F141B6E4C6E4}"/>
    <cellStyle name="Millares 6 5 2" xfId="5182" xr:uid="{98FAB1E3-C887-4E8C-8442-785C2D0E165F}"/>
    <cellStyle name="Millares 6 6" xfId="2027" xr:uid="{3AA118E9-8F50-4BDB-9E98-8A566D934A08}"/>
    <cellStyle name="Millares 6 6 2" xfId="5183" xr:uid="{485B006A-FAE1-4063-852B-5A8F27BC3C37}"/>
    <cellStyle name="Millares 6 7" xfId="2028" xr:uid="{873F8F16-34B3-4830-B3AF-B71452E310EE}"/>
    <cellStyle name="Millares 6 8" xfId="2029" xr:uid="{EAECAF6A-6B62-461C-A0D6-8E0CBB6347F4}"/>
    <cellStyle name="Millares 6 9" xfId="2030" xr:uid="{4CC5619D-EA69-4A38-9DF4-914779143C6B}"/>
    <cellStyle name="Millares 6 9 2" xfId="3806" xr:uid="{EE00EEF3-FB55-415D-8304-F8B68033E7EA}"/>
    <cellStyle name="Millares 6 9 2 2" xfId="6800" xr:uid="{09B1033E-6148-4D14-9439-C6EC425E88E0}"/>
    <cellStyle name="Millares 6 9 2 2 2" xfId="7123" xr:uid="{E43DC112-AF31-488A-BE12-4E61B53E06A3}"/>
    <cellStyle name="Millares 6 9 2 2 2 2" xfId="7764" xr:uid="{72AFBFA9-CC53-4690-8914-796958EA7A5D}"/>
    <cellStyle name="Millares 6 9 2 2 3" xfId="7441" xr:uid="{E83D5C78-8DA5-49F1-B3F5-1397FAD6A380}"/>
    <cellStyle name="Millares 6 9 2 3" xfId="6959" xr:uid="{C4C6BBEA-71E7-4CCC-AC70-F8586D771814}"/>
    <cellStyle name="Millares 6 9 2 3 2" xfId="7600" xr:uid="{8E42DB77-4255-475F-9910-C44432E08325}"/>
    <cellStyle name="Millares 6 9 2 4" xfId="7279" xr:uid="{E976F3C3-7457-4FB2-8842-9AE1BABAC595}"/>
    <cellStyle name="Millares 6 9 3" xfId="6759" xr:uid="{90C2D5EE-22CD-448C-AACE-F411648A4152}"/>
    <cellStyle name="Millares 6 9 3 2" xfId="7082" xr:uid="{C2A4ED0F-8D6E-48E3-9D08-AAF800DA6557}"/>
    <cellStyle name="Millares 6 9 3 2 2" xfId="7723" xr:uid="{50C762F5-7F9F-425F-89A4-06B64401583B}"/>
    <cellStyle name="Millares 6 9 3 3" xfId="7400" xr:uid="{BFED57EB-D6E4-462C-852F-02E33F79F0A4}"/>
    <cellStyle name="Millares 6 9 4" xfId="6928" xr:uid="{64242C04-0B5B-4ACB-A60E-C92C613F0AD4}"/>
    <cellStyle name="Millares 6 9 4 2" xfId="7569" xr:uid="{D7B04F7C-63DC-4DF6-8DA3-93669269D0A7}"/>
    <cellStyle name="Millares 6 9 5" xfId="7248" xr:uid="{260ED9B3-2BEE-40E8-8D46-3F9A45EF9A4E}"/>
    <cellStyle name="Millares 7" xfId="2031" xr:uid="{63A0FFBC-E5CE-4ED7-9E5B-4947443E03E4}"/>
    <cellStyle name="Millares 7 2" xfId="2032" xr:uid="{5DF62DF3-64AF-40F3-ACCE-9DE6B6E48496}"/>
    <cellStyle name="Millares 7 2 2" xfId="2033" xr:uid="{BF2C312B-AF81-4932-B935-2008FDE71486}"/>
    <cellStyle name="Millares 7 2 2 2" xfId="3809" xr:uid="{5915CD4D-52BE-4C26-B410-AE70F810A481}"/>
    <cellStyle name="Millares 7 2 2 2 2" xfId="6803" xr:uid="{8E482E42-DB8F-480D-86F4-1661C58B8325}"/>
    <cellStyle name="Millares 7 2 2 2 2 2" xfId="7126" xr:uid="{02044E6A-1C68-485B-AEF6-D1A16749CDFE}"/>
    <cellStyle name="Millares 7 2 2 2 2 2 2" xfId="7767" xr:uid="{E74EB3EC-6F56-48EB-8875-27D313BB2361}"/>
    <cellStyle name="Millares 7 2 2 2 2 3" xfId="7444" xr:uid="{BFE4A662-EE66-4A84-BB10-330584D06106}"/>
    <cellStyle name="Millares 7 2 2 2 3" xfId="6962" xr:uid="{C3830405-6EAA-49E6-9D0C-5996CED39437}"/>
    <cellStyle name="Millares 7 2 2 2 3 2" xfId="7603" xr:uid="{DEC00DD8-F331-4C8E-BE62-614060E9F6A6}"/>
    <cellStyle name="Millares 7 2 2 2 4" xfId="7282" xr:uid="{57DA0114-BAC6-4ED8-B6C3-A923281C46EA}"/>
    <cellStyle name="Millares 7 2 2 3" xfId="6762" xr:uid="{032F32E2-FE46-423C-BDBC-2F1E068A4AC2}"/>
    <cellStyle name="Millares 7 2 2 3 2" xfId="7085" xr:uid="{235CE7A7-CC88-4064-ABD3-3B5E22897DB0}"/>
    <cellStyle name="Millares 7 2 2 3 2 2" xfId="7726" xr:uid="{D3B715E8-3B87-4838-98D3-492A03501F39}"/>
    <cellStyle name="Millares 7 2 2 3 3" xfId="7403" xr:uid="{84653D3E-ECAC-405B-8264-21F8B5E7EC98}"/>
    <cellStyle name="Millares 7 2 2 4" xfId="6931" xr:uid="{8E497870-1068-435B-9D72-ADF1BE09F354}"/>
    <cellStyle name="Millares 7 2 2 4 2" xfId="7572" xr:uid="{07ABEE22-8212-4185-A8BE-FD7955686989}"/>
    <cellStyle name="Millares 7 2 2 5" xfId="7251" xr:uid="{6D25DD37-7DDD-4028-9B92-177B0EE6B68C}"/>
    <cellStyle name="Millares 7 2 3" xfId="2034" xr:uid="{A28377E4-2BE2-4D53-9DFA-155F2145AA5D}"/>
    <cellStyle name="Millares 7 2 3 2" xfId="3810" xr:uid="{9138D8A0-72A0-408C-95C3-63EEA7147BD6}"/>
    <cellStyle name="Millares 7 2 3 2 2" xfId="6804" xr:uid="{CC6EDD2D-60DB-48E8-B8AB-6B2A0217E112}"/>
    <cellStyle name="Millares 7 2 3 2 2 2" xfId="7127" xr:uid="{A97B9430-00FB-494C-A10B-F062A1318B60}"/>
    <cellStyle name="Millares 7 2 3 2 2 2 2" xfId="7768" xr:uid="{69E0F538-A4A6-4CAA-A549-0333EBB90352}"/>
    <cellStyle name="Millares 7 2 3 2 2 3" xfId="7445" xr:uid="{96647D63-9186-47B9-B4B0-4E05DB39A98C}"/>
    <cellStyle name="Millares 7 2 3 2 3" xfId="6963" xr:uid="{E77CC9E2-9989-4191-A7F6-56156F3E7A4A}"/>
    <cellStyle name="Millares 7 2 3 2 3 2" xfId="7604" xr:uid="{9FA7C2C7-0250-4A8D-9402-B56C6A65E804}"/>
    <cellStyle name="Millares 7 2 3 2 4" xfId="7283" xr:uid="{1098D1F0-59CE-4460-9B3B-C4A9933E4338}"/>
    <cellStyle name="Millares 7 2 3 3" xfId="6763" xr:uid="{0BDA4733-745E-4F3B-8CE6-FB5CDEF3B208}"/>
    <cellStyle name="Millares 7 2 3 3 2" xfId="7086" xr:uid="{FF27F5A7-E85E-466D-A5E3-806E788D3199}"/>
    <cellStyle name="Millares 7 2 3 3 2 2" xfId="7727" xr:uid="{4A9B56B6-AA3A-45C6-9666-40BA1FEB14F3}"/>
    <cellStyle name="Millares 7 2 3 3 3" xfId="7404" xr:uid="{80B523CF-7F40-426D-9ECA-2A833665F15A}"/>
    <cellStyle name="Millares 7 2 3 4" xfId="6932" xr:uid="{60D4C31F-4218-4264-980F-BB89F78930ED}"/>
    <cellStyle name="Millares 7 2 3 4 2" xfId="7573" xr:uid="{EE9E8A11-9E30-49BF-A61F-4A8C21FDE59B}"/>
    <cellStyle name="Millares 7 2 3 5" xfId="7252" xr:uid="{2E1066F0-9872-4831-A8B8-ADCDE1E83072}"/>
    <cellStyle name="Millares 7 2 4" xfId="3808" xr:uid="{ABB79136-8BB1-4797-BEA3-B64C925AC30D}"/>
    <cellStyle name="Millares 7 2 4 2" xfId="6802" xr:uid="{A0C11E72-71C2-49DC-87EE-F1B1A8DDF7AD}"/>
    <cellStyle name="Millares 7 2 4 2 2" xfId="7125" xr:uid="{B8F80A9F-9403-4B8A-9F41-71827792F284}"/>
    <cellStyle name="Millares 7 2 4 2 2 2" xfId="7766" xr:uid="{B6E38CCA-8DEB-44DF-9B5F-CCCD1C77A882}"/>
    <cellStyle name="Millares 7 2 4 2 3" xfId="7443" xr:uid="{D32BB631-FE83-4AEC-8C0E-066B645AE487}"/>
    <cellStyle name="Millares 7 2 4 3" xfId="6961" xr:uid="{85037CFE-38F2-43EB-A1A7-F2B5A1DDFC6A}"/>
    <cellStyle name="Millares 7 2 4 3 2" xfId="7602" xr:uid="{D27C3610-1F74-4ED7-BD5B-B0C453FC7E74}"/>
    <cellStyle name="Millares 7 2 4 4" xfId="7281" xr:uid="{4B60BAE2-2E16-48C6-96E2-7FA43F4D0688}"/>
    <cellStyle name="Millares 7 2 5" xfId="6761" xr:uid="{3E8B30F1-97CB-4A0E-AAE1-0DB40B4FCC38}"/>
    <cellStyle name="Millares 7 2 5 2" xfId="7084" xr:uid="{8753715E-7C69-40A3-B9F8-24B2F520AE57}"/>
    <cellStyle name="Millares 7 2 5 2 2" xfId="7725" xr:uid="{5AA48BF0-9D91-4BB9-AA2C-DF19D290E6A1}"/>
    <cellStyle name="Millares 7 2 5 3" xfId="7402" xr:uid="{FB6A7898-1087-44C7-9F25-C74EB5B28B78}"/>
    <cellStyle name="Millares 7 2 6" xfId="6930" xr:uid="{5C97A38E-519E-4604-A3DB-6A1C5E4A85DE}"/>
    <cellStyle name="Millares 7 2 6 2" xfId="7571" xr:uid="{BDCB1D9C-2914-4219-9DC1-868779CA1D30}"/>
    <cellStyle name="Millares 7 2 7" xfId="7250" xr:uid="{E26409F6-2B15-484C-BABB-6BC9494C13F4}"/>
    <cellStyle name="Millares 7 3" xfId="2035" xr:uid="{B02ED9B7-C4FA-4CCD-84B9-E72A121D2F89}"/>
    <cellStyle name="Millares 7 3 2" xfId="3811" xr:uid="{16A9D65A-422C-4502-A6D4-BDCFC35F33CD}"/>
    <cellStyle name="Millares 7 3 2 2" xfId="6805" xr:uid="{BEC8A65C-7281-4A2C-A53E-491BC81949F9}"/>
    <cellStyle name="Millares 7 3 2 2 2" xfId="7128" xr:uid="{F22BF426-2694-4776-91E1-4D6F1C341517}"/>
    <cellStyle name="Millares 7 3 2 2 2 2" xfId="7769" xr:uid="{D8566239-759D-4A92-9599-8057D5FD4D90}"/>
    <cellStyle name="Millares 7 3 2 2 3" xfId="7446" xr:uid="{D42574BB-468E-4434-8D04-380EB1D9DAFD}"/>
    <cellStyle name="Millares 7 3 2 3" xfId="6964" xr:uid="{CA154535-8E63-451E-A5BE-32E749A36870}"/>
    <cellStyle name="Millares 7 3 2 3 2" xfId="7605" xr:uid="{1E6CABE6-A38E-4C5A-AF06-416C8BBC2B8C}"/>
    <cellStyle name="Millares 7 3 2 4" xfId="7284" xr:uid="{93D072B2-0FFA-42C3-A270-C507A4E99F32}"/>
    <cellStyle name="Millares 7 3 3" xfId="6764" xr:uid="{38096E8A-5FD2-47AA-8E70-D1F58738642B}"/>
    <cellStyle name="Millares 7 3 3 2" xfId="7087" xr:uid="{4C458BF4-E869-483B-8271-E496F23ECA8B}"/>
    <cellStyle name="Millares 7 3 3 2 2" xfId="7728" xr:uid="{A325D4A7-68B5-4763-8060-BEC5B01DFD67}"/>
    <cellStyle name="Millares 7 3 3 3" xfId="7405" xr:uid="{54E80A07-CF95-4DF6-A5C9-EA1C334468DE}"/>
    <cellStyle name="Millares 7 3 4" xfId="6933" xr:uid="{8F56F64B-BA1D-4797-BCCA-8FA3D6137498}"/>
    <cellStyle name="Millares 7 3 4 2" xfId="7574" xr:uid="{F4E5BD39-1826-4CA3-8AE2-6E4F3E0D3B96}"/>
    <cellStyle name="Millares 7 3 5" xfId="7253" xr:uid="{1BE7F246-F6EE-4588-8B87-9499897BBFEA}"/>
    <cellStyle name="Millares 7 4" xfId="2036" xr:uid="{6BBA30E0-6511-4AA6-8773-9C71016D8AC8}"/>
    <cellStyle name="Millares 7 4 2" xfId="3812" xr:uid="{FDA8D521-99E2-48D6-B7B4-C764C2EF152A}"/>
    <cellStyle name="Millares 7 4 2 2" xfId="6806" xr:uid="{00555C2E-00AC-40DE-95C4-E21F96CC7D35}"/>
    <cellStyle name="Millares 7 4 2 2 2" xfId="7129" xr:uid="{55E46A26-6C23-4EAB-9A06-7DB42742EF95}"/>
    <cellStyle name="Millares 7 4 2 2 2 2" xfId="7770" xr:uid="{65CE629B-F743-4F11-ABBB-189266748D61}"/>
    <cellStyle name="Millares 7 4 2 2 3" xfId="7447" xr:uid="{F3B72FA5-1F4F-418F-9D1D-B9C5CE8162AE}"/>
    <cellStyle name="Millares 7 4 2 3" xfId="6965" xr:uid="{9B2FF39E-AB0F-4B23-BDF8-08307D6F6576}"/>
    <cellStyle name="Millares 7 4 2 3 2" xfId="7606" xr:uid="{C58BAC69-C8C9-445A-9A6C-45D14FA858A8}"/>
    <cellStyle name="Millares 7 4 2 4" xfId="7285" xr:uid="{E8D8236A-605D-456E-8661-BCADB25C371D}"/>
    <cellStyle name="Millares 7 4 3" xfId="6765" xr:uid="{86025E0B-7A4F-4BBD-B046-C028B53FD562}"/>
    <cellStyle name="Millares 7 4 3 2" xfId="7088" xr:uid="{B9B313A8-27E8-413D-B5AB-8654F94B5A76}"/>
    <cellStyle name="Millares 7 4 3 2 2" xfId="7729" xr:uid="{E223284E-F928-4A68-8646-4766A44AF0E2}"/>
    <cellStyle name="Millares 7 4 3 3" xfId="7406" xr:uid="{F85EB029-3E87-4F88-861F-512986CC60A6}"/>
    <cellStyle name="Millares 7 4 4" xfId="6934" xr:uid="{D9ACE6C4-45A3-48D6-892E-AB4CCA5FB98D}"/>
    <cellStyle name="Millares 7 4 4 2" xfId="7575" xr:uid="{1F0317D6-3D21-4CA3-B9F3-FB5ADA5B2540}"/>
    <cellStyle name="Millares 7 4 5" xfId="7254" xr:uid="{5337A85F-C072-4F06-AA70-7B87DCC37024}"/>
    <cellStyle name="Millares 7 5" xfId="3807" xr:uid="{0DE0BB26-01C6-4AB0-99E9-751E46FE1171}"/>
    <cellStyle name="Millares 7 5 2" xfId="6801" xr:uid="{FCF08749-BEC9-4A0B-864B-618211688514}"/>
    <cellStyle name="Millares 7 5 2 2" xfId="7124" xr:uid="{8D68E1FD-5636-407C-8B14-77AE7644D983}"/>
    <cellStyle name="Millares 7 5 2 2 2" xfId="7765" xr:uid="{F75D7384-3C33-4E84-A556-08CDB63BF47F}"/>
    <cellStyle name="Millares 7 5 2 3" xfId="7442" xr:uid="{0C1BF066-8B04-4606-B4E5-8645BEFE5CE7}"/>
    <cellStyle name="Millares 7 5 3" xfId="6960" xr:uid="{B5954F08-0BBF-4299-8B24-135D33C775EC}"/>
    <cellStyle name="Millares 7 5 3 2" xfId="7601" xr:uid="{CC0E29DC-C585-424A-A635-0A2E395E4926}"/>
    <cellStyle name="Millares 7 5 4" xfId="7280" xr:uid="{B2A2BF37-7F37-44AB-B7EE-B6BF030483C7}"/>
    <cellStyle name="Millares 7 6" xfId="6760" xr:uid="{09F04879-1E8B-4027-B97C-6E23BF8E92A1}"/>
    <cellStyle name="Millares 7 6 2" xfId="7083" xr:uid="{9589770A-97EB-479C-AA1F-13DFF02D88CF}"/>
    <cellStyle name="Millares 7 6 2 2" xfId="7724" xr:uid="{7C1E3929-1CB7-4115-BFB0-4C12F234FD2A}"/>
    <cellStyle name="Millares 7 6 3" xfId="7401" xr:uid="{0B83F4DD-650E-42F8-A3EB-A404ECDC0AD4}"/>
    <cellStyle name="Millares 7 7" xfId="6929" xr:uid="{03791626-5940-496F-9478-A154BA9C5E01}"/>
    <cellStyle name="Millares 7 7 2" xfId="7570" xr:uid="{26B6EC28-6A36-44BD-B99A-0D6A0C1A93BF}"/>
    <cellStyle name="Millares 7 8" xfId="7249" xr:uid="{52E74396-80E1-486D-BD4D-480BF7148AC1}"/>
    <cellStyle name="Millares 8" xfId="2037" xr:uid="{70E7FDA0-17D6-4BA0-80FD-18BF3F565775}"/>
    <cellStyle name="Millares 8 2" xfId="2038" xr:uid="{46D96528-1B27-49B5-9389-C04AEFBD3B1C}"/>
    <cellStyle name="Millares 8 2 2" xfId="3814" xr:uid="{A6531803-39AB-41EE-B4A6-9650AAC6985A}"/>
    <cellStyle name="Millares 8 2 2 2" xfId="6808" xr:uid="{C4F06095-E456-478E-B000-009E23116B15}"/>
    <cellStyle name="Millares 8 2 2 2 2" xfId="7131" xr:uid="{540E8486-3ABA-4B96-B78F-59C07E6BCE93}"/>
    <cellStyle name="Millares 8 2 2 2 2 2" xfId="7772" xr:uid="{A17182B5-83EB-4CAA-AED9-C07463891886}"/>
    <cellStyle name="Millares 8 2 2 2 3" xfId="7449" xr:uid="{5B324FDE-80D3-4F7C-86F7-7B4AA44509A3}"/>
    <cellStyle name="Millares 8 2 2 3" xfId="6967" xr:uid="{395E28BB-AD66-4031-BB6E-40E098B28986}"/>
    <cellStyle name="Millares 8 2 2 3 2" xfId="7608" xr:uid="{BB1CBD1E-A8BD-48C2-AA8F-47D0F00EA7A4}"/>
    <cellStyle name="Millares 8 2 2 4" xfId="7287" xr:uid="{1BC4C43A-C2E4-4B47-94BF-43E4098439D8}"/>
    <cellStyle name="Millares 8 2 3" xfId="6767" xr:uid="{C613E5E1-F513-41DB-A5F2-02D6D1A11856}"/>
    <cellStyle name="Millares 8 2 3 2" xfId="7090" xr:uid="{E6D536BC-B0BA-4EF0-A944-58B370220441}"/>
    <cellStyle name="Millares 8 2 3 2 2" xfId="7731" xr:uid="{A0CF9084-10A5-44FC-877C-D7D9AC22832D}"/>
    <cellStyle name="Millares 8 2 3 3" xfId="7408" xr:uid="{EA044C3A-7041-456D-A630-E8AFC34960B9}"/>
    <cellStyle name="Millares 8 2 4" xfId="6936" xr:uid="{A68A491F-5E35-41CE-ACA3-F38D6CD9BE4C}"/>
    <cellStyle name="Millares 8 2 4 2" xfId="7577" xr:uid="{C39560E1-8294-460D-8834-A600F2D77BA8}"/>
    <cellStyle name="Millares 8 2 5" xfId="7256" xr:uid="{CCC3131F-D3A6-4DD7-9228-082DFB048C61}"/>
    <cellStyle name="Millares 8 3" xfId="5184" xr:uid="{036B76F1-C1AF-45D0-8A0A-BBC9CA0F50A3}"/>
    <cellStyle name="Millares 8 3 2" xfId="6862" xr:uid="{193C1827-70F4-4FE4-89E5-21CBFBABC864}"/>
    <cellStyle name="Millares 8 3 2 2" xfId="7185" xr:uid="{3320682C-CABC-4A62-BF75-569962E82B31}"/>
    <cellStyle name="Millares 8 3 2 2 2" xfId="7826" xr:uid="{F8499FB5-1A6C-4DF2-A5B8-6D681C383E24}"/>
    <cellStyle name="Millares 8 3 2 3" xfId="7503" xr:uid="{4617E573-F270-46B8-94A8-4FADFCB2BF96}"/>
    <cellStyle name="Millares 8 3 3" xfId="7021" xr:uid="{B3466750-951A-482F-90BC-E7D4858DE593}"/>
    <cellStyle name="Millares 8 3 3 2" xfId="7662" xr:uid="{5FD31F80-9F64-4D36-B587-CD6075D12A6A}"/>
    <cellStyle name="Millares 8 3 4" xfId="7339" xr:uid="{7E6285D9-BE76-44B9-AA7B-C6DD6851346C}"/>
    <cellStyle name="Millares 8 4" xfId="5185" xr:uid="{C10D47BF-8DE5-4F6C-9971-CB2E064B39CB}"/>
    <cellStyle name="Millares 8 4 2" xfId="6863" xr:uid="{3CE78CEA-CAFA-480E-A472-CC0A90106FB4}"/>
    <cellStyle name="Millares 8 4 2 2" xfId="7186" xr:uid="{7E27373F-F312-4A97-BA32-D9DAC4AAC6F8}"/>
    <cellStyle name="Millares 8 4 2 2 2" xfId="7827" xr:uid="{02F99FA5-9BDF-49F8-9ECF-036CF02E3962}"/>
    <cellStyle name="Millares 8 4 2 3" xfId="7504" xr:uid="{B08209A0-B53F-4D27-A4D5-D626997A2EA3}"/>
    <cellStyle name="Millares 8 4 3" xfId="7022" xr:uid="{9787B0FF-CCC2-4A01-8FB9-D90ECD018833}"/>
    <cellStyle name="Millares 8 4 3 2" xfId="7663" xr:uid="{16F87607-0365-44DE-ABDA-85D151B05A81}"/>
    <cellStyle name="Millares 8 4 4" xfId="7340" xr:uid="{7EB32FAD-DBB6-4C2D-8F59-950F68646448}"/>
    <cellStyle name="Millares 8 5" xfId="3813" xr:uid="{0561997A-3A3E-4BE6-B821-B05D8DADBA5F}"/>
    <cellStyle name="Millares 8 5 2" xfId="6807" xr:uid="{008C2765-F68D-446C-923F-5B2B3F7EC3D5}"/>
    <cellStyle name="Millares 8 5 2 2" xfId="7130" xr:uid="{8FBFED18-500F-4BF0-8B7E-FD1D414F8EC4}"/>
    <cellStyle name="Millares 8 5 2 2 2" xfId="7771" xr:uid="{21593BCE-3AD3-4F24-91A0-37508F55E541}"/>
    <cellStyle name="Millares 8 5 2 3" xfId="7448" xr:uid="{BD3DA177-4DDD-454C-90C5-D72076BDDB32}"/>
    <cellStyle name="Millares 8 5 3" xfId="6966" xr:uid="{A2FBA881-517F-4389-B848-863FD7606D66}"/>
    <cellStyle name="Millares 8 5 3 2" xfId="7607" xr:uid="{F57A4C75-B112-4418-9496-3BD52C35E0C6}"/>
    <cellStyle name="Millares 8 5 4" xfId="7286" xr:uid="{C3B09BFC-BDB8-4DD2-9A78-AFDED3840099}"/>
    <cellStyle name="Millares 8 6" xfId="6766" xr:uid="{30DFB366-A7FE-456D-9BBD-274456AA9723}"/>
    <cellStyle name="Millares 8 6 2" xfId="7089" xr:uid="{242652FF-0B41-4AA1-9B36-982B4739EFC1}"/>
    <cellStyle name="Millares 8 6 2 2" xfId="7730" xr:uid="{9E8EAAE3-91B3-4D2D-9FCA-B8A746A90B8D}"/>
    <cellStyle name="Millares 8 6 3" xfId="7407" xr:uid="{8E62D222-5C86-4342-AEE9-D5298D9E8D1A}"/>
    <cellStyle name="Millares 8 7" xfId="6935" xr:uid="{C9131B3B-21EB-4C6C-8D8A-F7FA8F81AC78}"/>
    <cellStyle name="Millares 8 7 2" xfId="7576" xr:uid="{ABC891A6-736F-4203-9B43-1F103EC30FBF}"/>
    <cellStyle name="Millares 8 8" xfId="7255" xr:uid="{78A3B37C-AB78-4348-871A-8C6787762593}"/>
    <cellStyle name="Millares 9" xfId="2039" xr:uid="{618868A3-C6EA-4BC2-B041-220E02329A73}"/>
    <cellStyle name="Millares 9 2" xfId="2040" xr:uid="{38BDF8D3-AA39-4366-921F-1D5B24893BBA}"/>
    <cellStyle name="Millares 9 2 2" xfId="3816" xr:uid="{525E68F8-C91F-45BE-8233-58B90F644B14}"/>
    <cellStyle name="Millares 9 2 2 2" xfId="6810" xr:uid="{95E81BFB-A8C9-4D6C-9E35-15EB7E2D034A}"/>
    <cellStyle name="Millares 9 2 2 2 2" xfId="7133" xr:uid="{125B68C0-FC3C-4F20-8F7D-40D8A91639AB}"/>
    <cellStyle name="Millares 9 2 2 2 2 2" xfId="7774" xr:uid="{A868BE19-8D7A-4621-B8B7-6E8671DB4F78}"/>
    <cellStyle name="Millares 9 2 2 2 3" xfId="7451" xr:uid="{681E5AE7-501D-495B-9F04-02F3B1C6AFE3}"/>
    <cellStyle name="Millares 9 2 2 3" xfId="6969" xr:uid="{745FD05C-954F-4F29-AE4F-7B659C6E73B0}"/>
    <cellStyle name="Millares 9 2 2 3 2" xfId="7610" xr:uid="{7BB73746-97A6-4CC4-AE67-CEF72CB0FD72}"/>
    <cellStyle name="Millares 9 2 2 4" xfId="7289" xr:uid="{FFC17FCA-4335-4C0A-898B-0775C20D93FF}"/>
    <cellStyle name="Millares 9 2 3" xfId="6769" xr:uid="{424B7945-A27B-40F1-9ECD-DD4352671658}"/>
    <cellStyle name="Millares 9 2 3 2" xfId="7092" xr:uid="{7D442C77-8DE2-42B6-9998-03E1D7132C08}"/>
    <cellStyle name="Millares 9 2 3 2 2" xfId="7733" xr:uid="{E128FC0B-F52C-4426-BBDE-78B7517D62C8}"/>
    <cellStyle name="Millares 9 2 3 3" xfId="7410" xr:uid="{188B2CB0-7B95-431B-8231-B627FFE9CF3D}"/>
    <cellStyle name="Millares 9 2 4" xfId="6938" xr:uid="{9E23B00F-07B9-4E13-B5AD-F40BDE30BBA6}"/>
    <cellStyle name="Millares 9 2 4 2" xfId="7579" xr:uid="{9055671E-A6BF-4BF7-B3CE-D30CBA3D95BB}"/>
    <cellStyle name="Millares 9 2 5" xfId="7258" xr:uid="{D6D2F0DB-68C6-4960-94B7-6723A3B3B0A4}"/>
    <cellStyle name="Millares 9 3" xfId="5186" xr:uid="{5AD25401-7CFA-4261-9A57-76E67AD5A8F5}"/>
    <cellStyle name="Millares 9 3 2" xfId="6864" xr:uid="{7701D490-6CF2-4D25-AB5A-BCF61B82AE31}"/>
    <cellStyle name="Millares 9 3 2 2" xfId="7187" xr:uid="{6A958E8A-47C9-4AD3-AD84-C77399C2D673}"/>
    <cellStyle name="Millares 9 3 2 2 2" xfId="7828" xr:uid="{F3B37E4C-BE27-4EB8-9404-0D6A3FD4FF77}"/>
    <cellStyle name="Millares 9 3 2 3" xfId="7505" xr:uid="{62E0A582-6E08-45EF-A636-CAAC068C55D5}"/>
    <cellStyle name="Millares 9 3 3" xfId="7023" xr:uid="{809B1361-1375-420F-99FC-049DD51855B4}"/>
    <cellStyle name="Millares 9 3 3 2" xfId="7664" xr:uid="{7F153038-8C42-4238-8F3D-D6C96B7C1049}"/>
    <cellStyle name="Millares 9 3 4" xfId="7341" xr:uid="{EA87BFBB-4EF3-4CAD-B10F-DD52E1300B2C}"/>
    <cellStyle name="Millares 9 4" xfId="5187" xr:uid="{EFCB4FD4-BDB4-422B-A576-3467B12F2768}"/>
    <cellStyle name="Millares 9 4 2" xfId="6865" xr:uid="{A20D168C-C128-417B-B5D2-0C055FFB053A}"/>
    <cellStyle name="Millares 9 4 2 2" xfId="7188" xr:uid="{F35EC274-0A3B-4CEA-8BDF-813BED7C2B63}"/>
    <cellStyle name="Millares 9 4 2 2 2" xfId="7829" xr:uid="{D99A98DD-A89E-4A60-9D8F-573312EC9ADF}"/>
    <cellStyle name="Millares 9 4 2 3" xfId="7506" xr:uid="{1548C269-A8FC-41B3-B399-AEE22F4A0BC7}"/>
    <cellStyle name="Millares 9 4 3" xfId="7024" xr:uid="{2FB03327-161B-474C-A3D1-3A8C2E088DC0}"/>
    <cellStyle name="Millares 9 4 3 2" xfId="7665" xr:uid="{6036C5E1-D203-4D5F-880C-FF2D660BDF73}"/>
    <cellStyle name="Millares 9 4 4" xfId="7342" xr:uid="{B581929C-C52A-4AA5-84C6-E78CFB301123}"/>
    <cellStyle name="Millares 9 5" xfId="3815" xr:uid="{AC5BFF57-045C-4E73-91A6-4F1663F29BBC}"/>
    <cellStyle name="Millares 9 5 2" xfId="6809" xr:uid="{A2891E95-04A8-4A27-88DF-65EB2E29D86A}"/>
    <cellStyle name="Millares 9 5 2 2" xfId="7132" xr:uid="{AF2BC37C-0F73-449E-9461-6A0149F80783}"/>
    <cellStyle name="Millares 9 5 2 2 2" xfId="7773" xr:uid="{D7CD618A-0FB4-4EE9-A981-D838B817AD47}"/>
    <cellStyle name="Millares 9 5 2 3" xfId="7450" xr:uid="{CFA8B24C-BE1C-49FB-8874-5C25594A5A62}"/>
    <cellStyle name="Millares 9 5 3" xfId="6968" xr:uid="{09C71D57-CC10-486F-A2F3-D61EC0E2A1B5}"/>
    <cellStyle name="Millares 9 5 3 2" xfId="7609" xr:uid="{25FEB32F-808C-4BBA-B208-5CE2AE1B7BBD}"/>
    <cellStyle name="Millares 9 5 4" xfId="7288" xr:uid="{0900D4A4-EF35-433F-94E6-DE48766E6653}"/>
    <cellStyle name="Millares 9 6" xfId="6768" xr:uid="{7993FB40-78B4-427D-A522-39B5B5B9E351}"/>
    <cellStyle name="Millares 9 6 2" xfId="7091" xr:uid="{66C2FD59-5416-447C-8C27-36422AA47BBE}"/>
    <cellStyle name="Millares 9 6 2 2" xfId="7732" xr:uid="{10FF82BB-4F07-49F8-BD7B-A061A65B5630}"/>
    <cellStyle name="Millares 9 6 3" xfId="7409" xr:uid="{83FC420B-4D82-49AF-9388-4EE18C20C54E}"/>
    <cellStyle name="Millares 9 7" xfId="6937" xr:uid="{276752CF-90DE-469E-99C6-91A3244B5F84}"/>
    <cellStyle name="Millares 9 7 2" xfId="7578" xr:uid="{FA979270-B880-4D2E-A459-218400D0EA37}"/>
    <cellStyle name="Millares 9 8" xfId="7257" xr:uid="{22B6E89F-7CDC-4F23-9C99-7E8B09E35D63}"/>
    <cellStyle name="Millares(0)" xfId="2041" xr:uid="{E2E1800A-32E2-4685-BC2F-0D6140B08B2A}"/>
    <cellStyle name="Millares(0) 2" xfId="2042" xr:uid="{D5103837-5706-45DC-836A-5BB9E99C9114}"/>
    <cellStyle name="Millares(0) 2 2" xfId="2043" xr:uid="{C2C19F7B-87ED-4EFA-A636-126F3F940F3C}"/>
    <cellStyle name="Millares(0) 2 3" xfId="2044" xr:uid="{ED27DAD1-3AAF-4BCA-A6CD-0EF8E472DE46}"/>
    <cellStyle name="Millares(0) 3" xfId="2045" xr:uid="{FDF06403-3A36-415D-B661-B1E61B6D4848}"/>
    <cellStyle name="Millares(0) 3 2" xfId="2046" xr:uid="{FDF9441B-8B8E-4BEA-91C9-1594E57374A2}"/>
    <cellStyle name="Millares(0) 4" xfId="2047" xr:uid="{36700A8A-34C7-4022-817F-4E5A11B81A29}"/>
    <cellStyle name="Millares(0) 4 2" xfId="2048" xr:uid="{C681A3B7-3CEE-420B-A23F-499175D1DDFC}"/>
    <cellStyle name="Millares(0) 5" xfId="2049" xr:uid="{CCD9F674-A6FB-4EA6-89AC-082051F3C603}"/>
    <cellStyle name="Millares(0) 6" xfId="2050" xr:uid="{181C76CB-C87C-4C08-8FF8-15EFBC791D76}"/>
    <cellStyle name="Millares(0)_Cuadros Excel  kilometros 2008" xfId="2051" xr:uid="{8B248158-FCAE-4A12-BCE2-B857A8F824D3}"/>
    <cellStyle name="Millares(1)" xfId="2052" xr:uid="{9ED49E0F-5628-4935-A394-EF80873ECA43}"/>
    <cellStyle name="Millares(1) 2" xfId="2053" xr:uid="{62060B00-C5A2-46DF-8FB4-7AF18322D96B}"/>
    <cellStyle name="Millares(1) 2 2" xfId="2054" xr:uid="{954E815F-2D0F-4F17-A648-2801F2CC15AA}"/>
    <cellStyle name="Millares(1) 2 3" xfId="2055" xr:uid="{4D35C457-8E62-490E-8FA0-73B7AE6F5BA0}"/>
    <cellStyle name="Millares(1) 3" xfId="2056" xr:uid="{24B92E4A-1FD4-47B3-8765-D5D8110F90FC}"/>
    <cellStyle name="Millares(1) 3 2" xfId="2057" xr:uid="{E1CFD265-7FEE-4EAF-806E-E83425FA1E38}"/>
    <cellStyle name="Millares(1) 4" xfId="2058" xr:uid="{168811B2-43CA-4B92-A11D-215AAE0BC564}"/>
    <cellStyle name="Millares(1) 4 2" xfId="2059" xr:uid="{C4F17636-B7E2-4D9C-8D66-2FC049C1AA7C}"/>
    <cellStyle name="Millares(1) 5" xfId="2060" xr:uid="{5D92702B-669C-4551-97F1-D351FC2150AA}"/>
    <cellStyle name="Millares(1) 6" xfId="2061" xr:uid="{6FFDAC7E-8580-40E3-996E-144AECC468C7}"/>
    <cellStyle name="Millares(1)_Cuadros Excel  kilometros 2008" xfId="2062" xr:uid="{A0A86F18-856E-4D53-9403-E97D03F2BD0E}"/>
    <cellStyle name="Millares[1]" xfId="2063" xr:uid="{4FF07930-8DD1-4174-88CA-3AC38DE0C36D}"/>
    <cellStyle name="Millares[1] 2" xfId="2064" xr:uid="{511CD183-19F3-4AFC-B94D-9F1F200FC16E}"/>
    <cellStyle name="Millares[1] 2 2" xfId="2065" xr:uid="{5D6116BF-F76A-4A94-8742-E3031F7B8338}"/>
    <cellStyle name="Millares[1] 2 3" xfId="2066" xr:uid="{65621D52-5CCA-4550-9095-4129C8C7CB24}"/>
    <cellStyle name="Millares[1] 3" xfId="2067" xr:uid="{AAABF39A-E82C-44C3-93C8-1EC50882A48B}"/>
    <cellStyle name="Millares[1] 3 2" xfId="2068" xr:uid="{2B099DFE-9F92-4A27-8174-0FE847587023}"/>
    <cellStyle name="Millares[1] 4" xfId="2069" xr:uid="{A63D4348-35DF-4F93-8A48-E61E30E5C89C}"/>
    <cellStyle name="Millares[1] 4 2" xfId="2070" xr:uid="{59ED795B-221A-47CB-8C98-17CBB7CCFC13}"/>
    <cellStyle name="Millares[1] 5" xfId="2071" xr:uid="{9A63B411-8469-4CB8-B89B-9813517841B6}"/>
    <cellStyle name="Millares[1] 6" xfId="2072" xr:uid="{67661051-F5CF-4BD3-A8FB-3198C46AB1FE}"/>
    <cellStyle name="Millares[1]_Cuadros Excel  kilometros 2008" xfId="2073" xr:uid="{CE4F3489-7774-47EA-AF99-A1EBB714EB55}"/>
    <cellStyle name="Moeda [0]" xfId="2074" xr:uid="{770D28B9-A069-4ABF-9FC8-680B81F701CB}"/>
    <cellStyle name="Moeda [0] 2" xfId="5188" xr:uid="{9B972489-8C74-4337-BE05-2DFC2E5C6A35}"/>
    <cellStyle name="Moeda_01-08_RESULTADO" xfId="3433" xr:uid="{65A4B09D-AAF2-4782-A25D-5DE2478A6DA6}"/>
    <cellStyle name="Moneda [0] 2" xfId="10" xr:uid="{45F0E913-E93A-4C11-AC12-2CBEB3868A95}"/>
    <cellStyle name="Moneda 10" xfId="5189" xr:uid="{E6C5F601-456B-47CF-A1E7-AD79DE251C2B}"/>
    <cellStyle name="Moneda 11" xfId="3821" xr:uid="{2B01E5CA-9C47-4165-AF9F-7523D023348B}"/>
    <cellStyle name="Moneda 2" xfId="5190" xr:uid="{3A57A31E-22DC-43F1-BFE1-21D490695996}"/>
    <cellStyle name="Moneda 2 2" xfId="5191" xr:uid="{3659D186-2436-4A01-9AAE-8B4D6BD27F67}"/>
    <cellStyle name="Moneda 3" xfId="5192" xr:uid="{A44CF605-762A-43E6-A3C1-575BA463E283}"/>
    <cellStyle name="Moneda 4" xfId="5193" xr:uid="{9D819135-0767-4C63-AF21-FB1F91506C04}"/>
    <cellStyle name="Moneda 5" xfId="5194" xr:uid="{AFE05CBB-D94D-4F8C-8A23-C0BD62487CE3}"/>
    <cellStyle name="Moneda 6" xfId="5195" xr:uid="{D9127D7B-CB6A-4BAA-9AFA-A810AC7067F6}"/>
    <cellStyle name="Moneda 7" xfId="5196" xr:uid="{E8A188C4-6BA3-434B-B04F-5A7954129845}"/>
    <cellStyle name="Moneda 8" xfId="5197" xr:uid="{3C4F3376-383F-4A11-A20A-C633876E7D08}"/>
    <cellStyle name="Moneda 9" xfId="5198" xr:uid="{305F207C-7DA8-4CB4-94D3-4105C89FF3A4}"/>
    <cellStyle name="Monetario" xfId="3434" xr:uid="{7C47EE12-BD2B-4168-89CA-BBFA850E5B2F}"/>
    <cellStyle name="Monetario0" xfId="3435" xr:uid="{B06A013A-16CB-4CE6-B72B-0F472B475CA3}"/>
    <cellStyle name="Neutra" xfId="2075" xr:uid="{B66A0C9E-72AC-42B2-BEB0-2C3A5E44BCDF}"/>
    <cellStyle name="Neutral 10" xfId="5199" xr:uid="{6E150A4B-EF71-4589-A3E8-6AD07721AA8B}"/>
    <cellStyle name="Neutral 11" xfId="5200" xr:uid="{81546D6F-94EC-40E9-9753-0BD416B7B93E}"/>
    <cellStyle name="Neutral 12" xfId="5201" xr:uid="{B44554C5-C601-4BD7-9618-9D39645A88A7}"/>
    <cellStyle name="Neutral 13" xfId="5202" xr:uid="{0F44A3FD-A4BC-463E-8AAC-F297911A888C}"/>
    <cellStyle name="Neutral 14" xfId="5203" xr:uid="{D3504997-219B-4561-94B8-065A5D3DFE6C}"/>
    <cellStyle name="Neutral 14 2" xfId="5204" xr:uid="{81091F35-F50A-455B-8E70-EB698A4E670B}"/>
    <cellStyle name="Neutral 15" xfId="5205" xr:uid="{345A2119-DB8C-4D56-886B-72F5E0B73F9A}"/>
    <cellStyle name="Neutral 2" xfId="3436" xr:uid="{6D1C7C5E-2510-4543-A2A6-D27DF911BFEF}"/>
    <cellStyle name="Neutral 2 2" xfId="5206" xr:uid="{F3FFDB0F-0EFB-477B-94D6-12C971E311EE}"/>
    <cellStyle name="Neutral 2 3" xfId="5207" xr:uid="{5A95C2E0-A1D2-4472-96EF-0C1BCED9954A}"/>
    <cellStyle name="Neutral 2 4" xfId="5208" xr:uid="{B5C87208-D5EB-4794-A22C-EA2DA1D75A59}"/>
    <cellStyle name="Neutral 3" xfId="3437" xr:uid="{2F670C5B-EA5E-4ED7-BB70-ED58D5F6132E}"/>
    <cellStyle name="Neutral 3 2" xfId="5209" xr:uid="{B2539D83-93FC-4F3E-A5B8-B0B38F47A82E}"/>
    <cellStyle name="Neutral 3 3" xfId="5210" xr:uid="{EEFE118A-AF5B-480C-A425-FED8A26E1F34}"/>
    <cellStyle name="Neutral 4" xfId="5211" xr:uid="{32E88B26-A174-4744-9CF0-8E99419B622D}"/>
    <cellStyle name="Neutral 4 2" xfId="5212" xr:uid="{849C21B4-1416-4FA5-8385-FA4EBA421E70}"/>
    <cellStyle name="Neutral 4 3" xfId="5213" xr:uid="{DEF5AD4E-E10F-4693-B521-8E4BF235F066}"/>
    <cellStyle name="Neutral 5" xfId="5214" xr:uid="{BCC595E0-ECD7-4DB7-8F0F-6429917656B7}"/>
    <cellStyle name="Neutral 6" xfId="5215" xr:uid="{0394E5E7-453B-4D6E-B8C3-B091D8545132}"/>
    <cellStyle name="Neutral 7" xfId="5216" xr:uid="{F873677F-CCA3-41E3-A5B8-9CB4C2AB3A26}"/>
    <cellStyle name="Neutral 8" xfId="5217" xr:uid="{CDEA81A4-E76D-465E-8895-35E37ECEF4BF}"/>
    <cellStyle name="Neutral 9" xfId="5218" xr:uid="{6CAAE287-C5F8-477D-B12C-632DA3E17765}"/>
    <cellStyle name="no dec" xfId="2076" xr:uid="{3AF6F7D9-2D43-45A2-A508-2FF11DF0617C}"/>
    <cellStyle name="no dec 2" xfId="2077" xr:uid="{22CEFFDC-5265-4216-AEA5-E7D78F18DFAB}"/>
    <cellStyle name="no dec 2 2" xfId="2078" xr:uid="{C96B9BF6-CCC0-4E53-AAB6-ACECB4E36EAB}"/>
    <cellStyle name="no dec 2 3" xfId="2079" xr:uid="{E1B9E9DF-BB2B-482A-B36C-C1ABC9E851A1}"/>
    <cellStyle name="no dec 2 4" xfId="2080" xr:uid="{CE6AF2D9-2DB9-4486-ADD6-E6F2B1A32DFC}"/>
    <cellStyle name="no dec 2 5" xfId="2081" xr:uid="{30504B50-432C-441D-8E5A-63FFE984C57E}"/>
    <cellStyle name="no dec 2 6" xfId="2082" xr:uid="{75E9517B-FF7C-4DD0-B107-416A956A08CF}"/>
    <cellStyle name="no dec 2 7" xfId="2083" xr:uid="{71BB6D2E-F38D-44CF-AB1F-B21A82120BA6}"/>
    <cellStyle name="no dec 2 8" xfId="2084" xr:uid="{F5E83445-DC89-47BD-A523-833656B1B0BB}"/>
    <cellStyle name="no dec 2_ActiFijos" xfId="2085" xr:uid="{68C144E6-D833-471A-9FB3-667A3FD3C843}"/>
    <cellStyle name="no dec 3" xfId="2086" xr:uid="{F7DC1AE0-8EE8-4572-B735-F02223403F59}"/>
    <cellStyle name="no dec 3 2" xfId="2087" xr:uid="{682CE683-830A-48F0-AC71-B3ED6E11AD8D}"/>
    <cellStyle name="no dec 3 3" xfId="2088" xr:uid="{122215B8-D257-419C-8ACB-846B53F63354}"/>
    <cellStyle name="no dec 3 4" xfId="2089" xr:uid="{2F373576-2AD2-4EE3-ADFA-BB043C0A0827}"/>
    <cellStyle name="no dec 3 5" xfId="2090" xr:uid="{EFE12222-4737-4BCA-84DF-AF676E63C7F6}"/>
    <cellStyle name="no dec 3 6" xfId="2091" xr:uid="{43D6DF36-7C74-4914-AC1C-28D699421AAB}"/>
    <cellStyle name="no dec 3 7" xfId="2092" xr:uid="{AFFC0290-C329-4191-A7CE-10D6C7D5647D}"/>
    <cellStyle name="no dec 3 8" xfId="2093" xr:uid="{8A12A55C-7090-4D18-8114-FAFACB0CA786}"/>
    <cellStyle name="no dec 3_ActiFijos" xfId="2094" xr:uid="{A50D8031-D61C-44DB-A4D4-F4CC1BE55384}"/>
    <cellStyle name="no dec 4" xfId="2095" xr:uid="{3DEEF556-6B3A-47E4-98DB-0909203DF733}"/>
    <cellStyle name="no dec 4 2" xfId="2096" xr:uid="{5F849340-A114-4013-913F-E5FB4C899C50}"/>
    <cellStyle name="no dec 4 3" xfId="2097" xr:uid="{1E7FF9E6-2CD0-43B3-AAB5-4719B755917D}"/>
    <cellStyle name="no dec 4 4" xfId="2098" xr:uid="{679CE241-A30C-4913-AF5C-0F9897976FAA}"/>
    <cellStyle name="no dec 4 5" xfId="2099" xr:uid="{65D26F27-5DF8-469E-8ACE-03FA65ADCDD8}"/>
    <cellStyle name="no dec 4 6" xfId="2100" xr:uid="{75C3BBA9-EB88-4EB3-A312-D0AA3F4DDCE5}"/>
    <cellStyle name="no dec 4 7" xfId="2101" xr:uid="{AF6F7522-1B35-457C-A8F0-77A0C6C31731}"/>
    <cellStyle name="no dec 4 8" xfId="2102" xr:uid="{25787764-844A-4009-8D93-2D2906E6E662}"/>
    <cellStyle name="no dec 4_ActiFijos" xfId="2103" xr:uid="{537ECC2A-ECE2-4B39-81CD-8E45B6309F5C}"/>
    <cellStyle name="no dec_Bases_Generales" xfId="2104" xr:uid="{CB6EE30B-FB99-4CD3-80E1-D1FC468CDB17}"/>
    <cellStyle name="Normal" xfId="0" builtinId="0"/>
    <cellStyle name="Normal - Style1" xfId="2105" xr:uid="{031B61A7-43E7-43E5-ABCA-8DC090185B8A}"/>
    <cellStyle name="Normal (%)" xfId="3438" xr:uid="{A66E0C1D-40F9-407C-8766-3BF527674949}"/>
    <cellStyle name="Normal (£m)" xfId="3439" xr:uid="{70C8CD08-49FE-4A96-88F9-17110B4C5D46}"/>
    <cellStyle name="Normal (x)" xfId="3440" xr:uid="{DD20B2E3-3A6A-498D-84BB-C6832C05FF05}"/>
    <cellStyle name="Normal 10" xfId="2106" xr:uid="{3F91F107-5D0D-4D27-B662-9649EC7A31B6}"/>
    <cellStyle name="Normal 10 2" xfId="5219" xr:uid="{60B505BC-9909-4E42-B21A-303D2173D26A}"/>
    <cellStyle name="Normal 11" xfId="2107" xr:uid="{10EB8264-B7F4-4341-9227-F29C9DA6B4B9}"/>
    <cellStyle name="Normal 11 2" xfId="88" xr:uid="{EA689B9F-1433-4C68-9A68-31FDEC6B139F}"/>
    <cellStyle name="Normal 11 3" xfId="22" xr:uid="{6439D866-D6E4-429A-93E5-7D1139CDC9D3}"/>
    <cellStyle name="Normal 12" xfId="3299" xr:uid="{A09BEB27-1733-4E19-A6F8-0290E133EB8E}"/>
    <cellStyle name="Normal 12 2" xfId="5220" xr:uid="{1C97313D-6917-4D83-BFA7-1644F82F1EF3}"/>
    <cellStyle name="Normal 12 3" xfId="5221" xr:uid="{81928D7E-3C58-4A48-994F-28203B7E2E59}"/>
    <cellStyle name="Normal 12 4" xfId="3817" xr:uid="{6F3143E0-AE50-44D5-8F52-AE122628C272}"/>
    <cellStyle name="Normal 13" xfId="3300" xr:uid="{A4810545-D475-42CD-9071-06BB957A438C}"/>
    <cellStyle name="Normal 13 2" xfId="3664" xr:uid="{295D8C2F-F343-40D6-80CE-904D94E66FC9}"/>
    <cellStyle name="Normal 14" xfId="3665" xr:uid="{6818D38E-3355-4551-8D53-D566B722A27F}"/>
    <cellStyle name="Normal 14 2" xfId="3666" xr:uid="{3A00E4DF-A863-412D-B916-F91966B013EE}"/>
    <cellStyle name="Normal 14 2 2" xfId="5222" xr:uid="{FAA8D202-A4E9-45B7-864D-6E1C94BCF198}"/>
    <cellStyle name="Normal 14 3" xfId="3667" xr:uid="{334814DB-A305-42D4-AA26-4217098ACAF9}"/>
    <cellStyle name="Normal 14 3 2" xfId="5223" xr:uid="{4D5CA651-3EAB-4665-B5FF-91BA3B51344E}"/>
    <cellStyle name="Normal 14 4" xfId="5224" xr:uid="{C72D4B08-D666-42CF-AC51-E833DA6D590C}"/>
    <cellStyle name="Normal 14 4 2" xfId="5225" xr:uid="{656ACD2E-BB86-4D15-93AE-83F0D0AF619B}"/>
    <cellStyle name="Normal 14 5" xfId="5226" xr:uid="{9333158E-59BF-43FE-8563-F1F141723551}"/>
    <cellStyle name="Normal 14 5 2" xfId="5227" xr:uid="{B87C2159-1BFF-4886-BD45-872A9A7F60F0}"/>
    <cellStyle name="Normal 14 6" xfId="5228" xr:uid="{D492FA6C-77D9-40F6-98EA-313C07897B99}"/>
    <cellStyle name="Normal 14 6 2" xfId="5229" xr:uid="{4EAFD178-BBF4-425E-9620-7D36EEB0C995}"/>
    <cellStyle name="Normal 14 7" xfId="5230" xr:uid="{84837D76-3156-4E3E-89A2-5733F71D1565}"/>
    <cellStyle name="Normal 14 7 2" xfId="5231" xr:uid="{9DED3F99-69B6-4EC9-81AF-0437E5BA3F3F}"/>
    <cellStyle name="Normal 15" xfId="5232" xr:uid="{A2F80E83-4FB0-42AA-A364-5F1EB9D7106C}"/>
    <cellStyle name="Normal 16" xfId="3738" xr:uid="{FCBC6304-FDDA-4292-A5EE-E33A5829ADBA}"/>
    <cellStyle name="Normal 16 2" xfId="3668" xr:uid="{8ACEC024-F2E5-4424-8812-11DA9AC6681D}"/>
    <cellStyle name="Normal 16 2 2" xfId="5233" xr:uid="{72DE39FE-B894-45B5-933D-7D283E394B37}"/>
    <cellStyle name="Normal 16 3" xfId="3669" xr:uid="{52069FC1-0EBA-4FF0-830B-B4BBDAA8B2BD}"/>
    <cellStyle name="Normal 16 3 2" xfId="5234" xr:uid="{51D1412E-F420-4801-8772-0BA7C34FB358}"/>
    <cellStyle name="Normal 16 4" xfId="5235" xr:uid="{15C15D47-AFC7-4054-9F0D-27B684A8B3D5}"/>
    <cellStyle name="Normal 16 4 2" xfId="5236" xr:uid="{B988D0FB-2727-4A7D-8B8C-051D28542C9D}"/>
    <cellStyle name="Normal 16 5" xfId="5237" xr:uid="{31E80364-F3FE-492B-8A8C-3B41690ADFC4}"/>
    <cellStyle name="Normal 16 5 2" xfId="5238" xr:uid="{C00EC0B8-BFC5-4C41-A91C-663B8F01438E}"/>
    <cellStyle name="Normal 17" xfId="3739" xr:uid="{AACCAD1E-D09E-4243-8372-5FD8A53310CB}"/>
    <cellStyle name="Normal 170 2" xfId="6" xr:uid="{77B62405-8999-44C1-84A0-E1B27427AA70}"/>
    <cellStyle name="Normal 172" xfId="4" xr:uid="{E288EBB9-05C3-4AF1-A12A-D06F5AF78125}"/>
    <cellStyle name="Normal 18" xfId="5239" xr:uid="{C5380256-A741-41F3-8BE8-5C872ADB4D35}"/>
    <cellStyle name="Normal 18 2" xfId="5240" xr:uid="{B3EFF657-F6B8-4FF2-A554-6DBBF65F051D}"/>
    <cellStyle name="Normal 19" xfId="5241" xr:uid="{9999C257-BFC8-428A-88EE-A70DFDAADE98}"/>
    <cellStyle name="Normal 19 2" xfId="5242" xr:uid="{3C6398CD-C558-4C1E-9387-0AA28B901436}"/>
    <cellStyle name="Normal 19 4" xfId="17" xr:uid="{7F44BA11-024C-407B-AEB3-FEE7EDF8E867}"/>
    <cellStyle name="Normal 19 4 3" xfId="7873" xr:uid="{CE4935D0-2174-4809-B767-6B12F59B8061}"/>
    <cellStyle name="Normal 2" xfId="2" xr:uid="{BDA2C686-5D74-4923-B6BE-063F9F1F2F31}"/>
    <cellStyle name="Normal 2 10" xfId="5243" xr:uid="{743CA1C3-D0C9-499E-93E1-CE5A766C9AA4}"/>
    <cellStyle name="Normal 2 10 2" xfId="5244" xr:uid="{59951558-2553-4495-8F70-2C9C2696D128}"/>
    <cellStyle name="Normal 2 10 3" xfId="5245" xr:uid="{180CC70D-3EB2-4115-AA20-1940D4426358}"/>
    <cellStyle name="Normal 2 11" xfId="5246" xr:uid="{A6B66BC5-8F0A-4895-8DB6-B44F1A35920F}"/>
    <cellStyle name="Normal 2 11 2" xfId="5247" xr:uid="{F5140221-89A7-4FF6-AE66-EE515A2B74B5}"/>
    <cellStyle name="Normal 2 11 3" xfId="5248" xr:uid="{8FD749CB-6267-4B36-A04E-3D8843EDDE9F}"/>
    <cellStyle name="Normal 2 12" xfId="5249" xr:uid="{5E6A330E-DCC2-4DC1-B4FC-A116992701F6}"/>
    <cellStyle name="Normal 2 12 2" xfId="5250" xr:uid="{D7FD36B9-AACF-4383-A959-5B0545A2576E}"/>
    <cellStyle name="Normal 2 12 3" xfId="5251" xr:uid="{5E2A4C4D-3270-4E05-BA0B-08D3B354D487}"/>
    <cellStyle name="Normal 2 13" xfId="5252" xr:uid="{8B532B82-FFB0-4200-BF9E-9A035F4796F8}"/>
    <cellStyle name="Normal 2 13 2" xfId="5253" xr:uid="{FBE765A6-BB67-47F2-9F45-6D1943753328}"/>
    <cellStyle name="Normal 2 13 3" xfId="5254" xr:uid="{E0870547-A1C6-400D-8493-9BB7A90BCBFF}"/>
    <cellStyle name="Normal 2 14" xfId="5255" xr:uid="{0E18A96A-B8E5-46CE-B53E-C9EB40E15D98}"/>
    <cellStyle name="Normal 2 14 2" xfId="5256" xr:uid="{2E2C6746-00C4-4184-9621-1E57EBDF7534}"/>
    <cellStyle name="Normal 2 14 3" xfId="5257" xr:uid="{44A7F992-05DE-40F6-8B48-87B3C5A8E7D8}"/>
    <cellStyle name="Normal 2 15" xfId="5258" xr:uid="{99E24F56-12B6-43C3-A430-98C046A4E9B1}"/>
    <cellStyle name="Normal 2 15 2" xfId="5259" xr:uid="{D23BA284-041A-4107-92C6-1358DC3BFA77}"/>
    <cellStyle name="Normal 2 15 3" xfId="5260" xr:uid="{19D25647-EA15-4496-9C8B-C2064C7D2F50}"/>
    <cellStyle name="Normal 2 16" xfId="5261" xr:uid="{6BB2968B-6C63-44E9-91DC-51B976C19CE0}"/>
    <cellStyle name="Normal 2 16 2" xfId="5262" xr:uid="{28D9E45B-ADB0-493F-ACD8-4108B90980C9}"/>
    <cellStyle name="Normal 2 16 3" xfId="5263" xr:uid="{B7304AB5-7007-4B1F-86A6-547638461A37}"/>
    <cellStyle name="Normal 2 17" xfId="8" xr:uid="{3EA08927-5625-40BE-BDFC-D021897BCBC4}"/>
    <cellStyle name="Normal 2 17 2" xfId="2108" xr:uid="{C2219FE8-FBD7-471D-9713-04FBB44F8FCA}"/>
    <cellStyle name="Normal 2 2" xfId="65" xr:uid="{2244E12E-FE18-4365-A2B1-267A1546A4B2}"/>
    <cellStyle name="Normal 2 2 10" xfId="5264" xr:uid="{21ADAA95-260D-4850-8B1C-981B9B52E264}"/>
    <cellStyle name="Normal 2 2 11" xfId="5265" xr:uid="{E0253572-E3DE-4C21-9DB9-D6129EFFF2C2}"/>
    <cellStyle name="Normal 2 2 12" xfId="5266" xr:uid="{FDE7DBE9-8350-44B7-8EA9-4A5439F4FB8D}"/>
    <cellStyle name="Normal 2 2 12 2" xfId="5267" xr:uid="{24F19EDD-12FD-494A-9C33-8D09E4E9246E}"/>
    <cellStyle name="Normal 2 2 12 3" xfId="5268" xr:uid="{70F4B717-158A-4FC9-8EB1-AD575477C595}"/>
    <cellStyle name="Normal 2 2 13" xfId="2109" xr:uid="{B3FCB315-5C5C-43DA-A5AB-0B7090F14548}"/>
    <cellStyle name="Normal 2 2 2" xfId="83" xr:uid="{E880C88D-530D-40EF-9B62-572DE6BE295B}"/>
    <cellStyle name="Normal 2 2 2 2" xfId="5269" xr:uid="{B0096501-E34A-47EF-A867-AA5430281B25}"/>
    <cellStyle name="Normal 2 2 2 3" xfId="5270" xr:uid="{D2A0387F-2E99-4CB6-9AF8-5F1EF22924AD}"/>
    <cellStyle name="Normal 2 2 2 4" xfId="5271" xr:uid="{9595199C-649B-42C6-A87A-D47339EC533C}"/>
    <cellStyle name="Normal 2 2 2 5" xfId="5272" xr:uid="{637C10D3-22C1-4280-BBD0-F2E29F479732}"/>
    <cellStyle name="Normal 2 2 2 6" xfId="5273" xr:uid="{CA69460C-80B0-47A1-B6B7-2D6B3AEE6D57}"/>
    <cellStyle name="Normal 2 2 2 7" xfId="6717" xr:uid="{0ACF47C2-0174-4004-84DC-2575D422D9E2}"/>
    <cellStyle name="Normal 2 2 2 8" xfId="3741" xr:uid="{C35E1AB6-9F6C-4389-96BB-AFD28D167F6C}"/>
    <cellStyle name="Normal 2 2 3" xfId="5274" xr:uid="{EC56549F-53C3-4A63-A6E0-DE02CB97BCB4}"/>
    <cellStyle name="Normal 2 2 4" xfId="5275" xr:uid="{3E9DC071-F7E5-4F00-8039-D53FD316CFA0}"/>
    <cellStyle name="Normal 2 2 4 2" xfId="5276" xr:uid="{2196AB0E-6E08-4ADA-8E0F-9AC12C26F8A5}"/>
    <cellStyle name="Normal 2 2 5" xfId="5277" xr:uid="{C8BF35F0-00EF-4615-A261-DE8A7B6E854A}"/>
    <cellStyle name="Normal 2 2 6" xfId="5278" xr:uid="{6C453FDA-1A1A-443E-9C90-0B06AA38C954}"/>
    <cellStyle name="Normal 2 2 7" xfId="5279" xr:uid="{2C957AAF-CDB8-4D16-A925-57A6821907F3}"/>
    <cellStyle name="Normal 2 2 8" xfId="5280" xr:uid="{DD4E399C-1BC9-4DA7-9888-C6F836CBB032}"/>
    <cellStyle name="Normal 2 2 9" xfId="5281" xr:uid="{D02AC153-077B-4BEA-80BD-6F619D5E208A}"/>
    <cellStyle name="Normal 2 3" xfId="3732" xr:uid="{6643C740-3FCA-4F2A-98DE-F2A47CFDD775}"/>
    <cellStyle name="Normal 2 3 2" xfId="5282" xr:uid="{51838254-F322-4D12-999B-33FEAD1C9B36}"/>
    <cellStyle name="Normal 2 4" xfId="3733" xr:uid="{A14A4AD8-BD8E-4F6E-831D-FAB80A2682B8}"/>
    <cellStyle name="Normal 2 4 2" xfId="5283" xr:uid="{3C0AE6CB-5178-44AD-93CE-EB30DFCBBBA1}"/>
    <cellStyle name="Normal 2 47" xfId="7863" xr:uid="{F04FE525-58EF-40E6-92F2-EFBA678BB7FC}"/>
    <cellStyle name="Normal 2 5" xfId="3734" xr:uid="{5D32EF2A-1C6A-4838-AF3D-4896A22EAA86}"/>
    <cellStyle name="Normal 2 6" xfId="3735" xr:uid="{C0DA6FAB-5EB4-424F-96C4-BF2BC27666E5}"/>
    <cellStyle name="Normal 2 7" xfId="3736" xr:uid="{2B7B0A8C-B091-48F4-BD04-4CEDCF8EC8D5}"/>
    <cellStyle name="Normal 2 8" xfId="5284" xr:uid="{7B8AB44B-EE7B-4C72-8B99-66DF83B7C28B}"/>
    <cellStyle name="Normal 2 8 2" xfId="5285" xr:uid="{C403EFC4-8776-4012-8E09-EC94D9AF7D88}"/>
    <cellStyle name="Normal 2 8 3" xfId="5286" xr:uid="{EC9C998B-6060-414D-8CAE-75CF84267144}"/>
    <cellStyle name="Normal 2 9" xfId="5287" xr:uid="{3695C08B-53C7-48F6-A60D-4806590D4881}"/>
    <cellStyle name="Normal 2 9 2" xfId="5288" xr:uid="{DFDF06BC-713A-439E-977C-37A76D7A0BD6}"/>
    <cellStyle name="Normal 2 9 3" xfId="5289" xr:uid="{F5525E6D-641C-42ED-882E-82CBB59D5397}"/>
    <cellStyle name="Normal 20" xfId="5290" xr:uid="{7F1771C6-B374-4094-882E-7B11E2F6F300}"/>
    <cellStyle name="Normal 21" xfId="5291" xr:uid="{952B59CB-60B4-401F-B6B5-79F7E5078C58}"/>
    <cellStyle name="Normal 22" xfId="5292" xr:uid="{D0D481EC-9490-43A6-8D00-5B262A4025DB}"/>
    <cellStyle name="Normal 23" xfId="5293" xr:uid="{06198510-E6EF-4187-9DB0-C2FED2130104}"/>
    <cellStyle name="Normal 24" xfId="5294" xr:uid="{583F12D6-2944-47CF-86C5-F5AA0DA7364C}"/>
    <cellStyle name="Normal 25" xfId="5295" xr:uid="{3321EBA5-3CE6-4F7E-8258-6BE116B51DCB}"/>
    <cellStyle name="Normal 26" xfId="5296" xr:uid="{B7110AA8-F7F5-4F15-A3FE-DBBBB1B68680}"/>
    <cellStyle name="Normal 27" xfId="5297" xr:uid="{D722DD96-5778-4D1F-A77D-05151CDFEC47}"/>
    <cellStyle name="Normal 28" xfId="5298" xr:uid="{6ED3FD89-39D3-427D-B6B4-6C25A3A55E35}"/>
    <cellStyle name="Normal 29" xfId="5299" xr:uid="{9BCD1733-3643-4193-A775-C86AB797DF45}"/>
    <cellStyle name="Normal 3" xfId="67" xr:uid="{AC34BE95-49AD-4F4D-B9E3-6FE9696ACB0B}"/>
    <cellStyle name="Normal 3 10" xfId="5300" xr:uid="{F4F0BCE3-2CDA-4093-AA6A-984C9DF046F2}"/>
    <cellStyle name="Normal 3 104 2" xfId="7868" xr:uid="{7566068F-4369-4C85-9FB3-43579BB34210}"/>
    <cellStyle name="Normal 3 11" xfId="6710" xr:uid="{E57C26BC-291E-4780-9F9E-323511D13CF0}"/>
    <cellStyle name="Normal 3 12" xfId="2110" xr:uid="{DC0497D9-FA71-4F42-906B-514401322C5A}"/>
    <cellStyle name="Normal 3 2" xfId="3670" xr:uid="{DAE02BBE-4E90-4038-A2D4-47C018B23AC3}"/>
    <cellStyle name="Normal 3 2 2" xfId="5301" xr:uid="{786197DC-902C-4A3A-9FFC-0EC106054AD5}"/>
    <cellStyle name="Normal 3 2 3" xfId="5302" xr:uid="{A37A99DB-BC8E-4313-BBCF-6620D8CF3603}"/>
    <cellStyle name="Normal 3 3" xfId="3671" xr:uid="{097A8BB0-A265-4BCB-AF97-6EDF349D9CFD}"/>
    <cellStyle name="Normal 3 3 2" xfId="5303" xr:uid="{0CDAC1FF-1109-4524-B3C7-ED5ACA519BD8}"/>
    <cellStyle name="Normal 3 4" xfId="3672" xr:uid="{FDE980C2-D077-4ED5-8D08-2AF748301236}"/>
    <cellStyle name="Normal 3 4 2" xfId="5304" xr:uid="{D73860E0-F38C-4C08-B36F-4A46DAB304FB}"/>
    <cellStyle name="Normal 3 4 3" xfId="5305" xr:uid="{826647A0-AA30-487F-8C20-E7B0DA46C670}"/>
    <cellStyle name="Normal 3 5" xfId="3673" xr:uid="{9A014F08-DD3D-4570-8C23-B6F49498562D}"/>
    <cellStyle name="Normal 3 5 2" xfId="5306" xr:uid="{F6CB0A8B-291F-4613-9D31-0DC524968031}"/>
    <cellStyle name="Normal 3 5 3" xfId="5307" xr:uid="{17657973-ADC4-4E1A-A265-31D48F824E2A}"/>
    <cellStyle name="Normal 3 6" xfId="3674" xr:uid="{BC2BAC73-6277-4382-9212-C36D3631C644}"/>
    <cellStyle name="Normal 3 6 2" xfId="5308" xr:uid="{19F6984B-F738-48EB-ABBF-C3F673803B80}"/>
    <cellStyle name="Normal 3 7" xfId="3675" xr:uid="{EB16C3B1-9469-4FD9-8D80-AF6DA2C2305D}"/>
    <cellStyle name="Normal 3 7 2" xfId="5309" xr:uid="{7F37A985-19A9-4303-A318-76DCFC10DE4A}"/>
    <cellStyle name="Normal 3 8" xfId="5310" xr:uid="{5080B91D-4ACF-4C09-8146-C4C8EE8040DB}"/>
    <cellStyle name="Normal 3 9" xfId="5311" xr:uid="{BBEB8795-F979-46A3-9F2B-C675B8B5DE8D}"/>
    <cellStyle name="Normal 30" xfId="5312" xr:uid="{6CE26A47-D306-4830-8F2C-24E1FC91FC4F}"/>
    <cellStyle name="Normal 31" xfId="5313" xr:uid="{AAAE0779-F745-4723-9293-C39930AF3516}"/>
    <cellStyle name="Normal 32" xfId="5314" xr:uid="{3CE8EC77-F4C3-4E37-BDBF-379F66F4057E}"/>
    <cellStyle name="Normal 33" xfId="5315" xr:uid="{42B9739B-97AD-4BCD-9EDA-4E934FE48F05}"/>
    <cellStyle name="Normal 34" xfId="5316" xr:uid="{374DEC0D-88B2-4FD9-A5A5-7264CEFB022F}"/>
    <cellStyle name="Normal 35" xfId="5317" xr:uid="{DA5604BC-D83A-455D-A827-CC14A3E74651}"/>
    <cellStyle name="Normal 36" xfId="5318" xr:uid="{0B0F8C0D-E5CA-425E-9D36-A61C3C404BE4}"/>
    <cellStyle name="Normal 37" xfId="2111" xr:uid="{98701344-B8B6-48C2-AFAE-9FFFBB21718F}"/>
    <cellStyle name="Normal 38" xfId="5319" xr:uid="{781E323C-9418-4668-AB16-7EAF1324555B}"/>
    <cellStyle name="Normal 39" xfId="5320" xr:uid="{F0E0467A-1449-4183-8C6D-E934B629A23C}"/>
    <cellStyle name="Normal 4" xfId="2112" xr:uid="{41BD687D-0AAF-4CBF-815E-8700FF789A9F}"/>
    <cellStyle name="Normal 4 2" xfId="2113" xr:uid="{5FF423B2-A2B5-4262-B5E8-0D85D9F3AE63}"/>
    <cellStyle name="Normal 4 2 10" xfId="5321" xr:uid="{1FE4A6BF-EFE0-4102-9E02-63EAF397989D}"/>
    <cellStyle name="Normal 4 2 10 2" xfId="5322" xr:uid="{BDCA8959-3CD7-41C4-8CD9-3D0439AC4284}"/>
    <cellStyle name="Normal 4 2 10 3" xfId="5323" xr:uid="{5567BA25-58F9-470D-A7E1-03CE7D039991}"/>
    <cellStyle name="Normal 4 2 10 4" xfId="5324" xr:uid="{93856421-D741-4B51-95AE-28F51741D78F}"/>
    <cellStyle name="Normal 4 2 11" xfId="5325" xr:uid="{CB002FED-3965-4B7B-99C4-A49C673CACA5}"/>
    <cellStyle name="Normal 4 2 11 2" xfId="5326" xr:uid="{C41D6848-78F7-4DF5-BF69-2D64C1500074}"/>
    <cellStyle name="Normal 4 2 12" xfId="5327" xr:uid="{ED13DFB8-6F02-40EC-8216-49F6CA05D657}"/>
    <cellStyle name="Normal 4 2 2" xfId="2114" xr:uid="{1C10A023-B83E-4379-A369-81E2CBA2010C}"/>
    <cellStyle name="Normal 4 2 2 2" xfId="5328" xr:uid="{F32CCA25-9887-4689-AA31-18F1455994A1}"/>
    <cellStyle name="Normal 4 2 2 3" xfId="5329" xr:uid="{D373545B-A150-4CF9-8B73-4AA78714A924}"/>
    <cellStyle name="Normal 4 2 2 4" xfId="5330" xr:uid="{C81FA4F4-CC6C-4860-90E6-C884DDDF31A9}"/>
    <cellStyle name="Normal 4 2 3" xfId="2115" xr:uid="{C42462A7-F535-48AA-8AE1-DC460C3925D0}"/>
    <cellStyle name="Normal 4 2 3 2" xfId="5331" xr:uid="{78EFD3AF-E0A5-415E-ACAD-960B9CD6F859}"/>
    <cellStyle name="Normal 4 2 4" xfId="3676" xr:uid="{AE555D1F-776B-4112-8684-416172CA7DC6}"/>
    <cellStyle name="Normal 4 2 4 2" xfId="5332" xr:uid="{47C40155-7720-456C-B73D-014E3FD55184}"/>
    <cellStyle name="Normal 4 2 5" xfId="3677" xr:uid="{69AD4AB4-4285-422D-A1AF-7702FB324860}"/>
    <cellStyle name="Normal 4 2 5 2" xfId="5333" xr:uid="{F5650E6A-E8A2-45C5-8B38-4CB3560AC4B6}"/>
    <cellStyle name="Normal 4 2 6" xfId="3678" xr:uid="{23FC7A68-2A2D-4BE0-B076-6762F3E31F68}"/>
    <cellStyle name="Normal 4 2 6 2" xfId="5334" xr:uid="{9B9C3D6A-A410-4268-AC0C-BE551B1AE178}"/>
    <cellStyle name="Normal 4 2 7" xfId="3679" xr:uid="{4B1F0411-1E75-4624-91FC-8BC4908BE037}"/>
    <cellStyle name="Normal 4 2 7 2" xfId="5335" xr:uid="{11F8B4E6-4451-42DD-AD2D-5031E5D5BDF8}"/>
    <cellStyle name="Normal 4 2 8" xfId="5336" xr:uid="{119A0B9C-8C07-4811-8CC8-F1DD9B18C35C}"/>
    <cellStyle name="Normal 4 2 8 2" xfId="5337" xr:uid="{8F6186B3-27E5-44E8-B417-268C8C6E9558}"/>
    <cellStyle name="Normal 4 2 9" xfId="5338" xr:uid="{43E5B6AB-CF49-4B26-AE15-702892FD6F14}"/>
    <cellStyle name="Normal 4 2 9 2" xfId="5339" xr:uid="{040998C3-68B8-4E00-A0BD-31528FA0C364}"/>
    <cellStyle name="Normal 4 2_Deuda septiembre_marcos" xfId="2116" xr:uid="{B5E251BE-8FD6-490F-9E6D-3663A60DB793}"/>
    <cellStyle name="Normal 4 3" xfId="2117" xr:uid="{65E54FD1-6043-41AC-A957-CE37C7CABB32}"/>
    <cellStyle name="Normal 4 3 2" xfId="5340" xr:uid="{130DDA99-B805-4E55-8B3A-D8B2FC453BE4}"/>
    <cellStyle name="Normal 4 4" xfId="2118" xr:uid="{D141A511-72F8-49D3-BD2E-442381A62D9F}"/>
    <cellStyle name="Normal 4 4 2" xfId="5341" xr:uid="{8B07501F-C8EC-4C39-A1F6-46B76461530C}"/>
    <cellStyle name="Normal 4 4 3" xfId="5342" xr:uid="{0E289DB6-A888-4AE8-B61B-CB65AD4983A8}"/>
    <cellStyle name="Normal 4 4 4" xfId="5343" xr:uid="{68F70BCD-56CE-4292-B0F4-413499E4EA2E}"/>
    <cellStyle name="Normal 4 5" xfId="89" xr:uid="{8210035C-658D-42BE-9703-706DE4B40A08}"/>
    <cellStyle name="Normal 4 5 2" xfId="16" xr:uid="{8585F075-457A-4B0B-B316-EB4D0D765C3B}"/>
    <cellStyle name="Normal 4 5 2 2" xfId="5344" xr:uid="{2057CF59-E965-4C9F-B2FC-99DEB5EB91AF}"/>
    <cellStyle name="Normal 4 6" xfId="3680" xr:uid="{1E42890A-F6FF-4DEE-B3BE-C54443F78514}"/>
    <cellStyle name="Normal 4 6 2" xfId="5345" xr:uid="{4142541F-DA69-44F8-A8B4-F6715C9F6299}"/>
    <cellStyle name="Normal 4 7" xfId="3681" xr:uid="{BDABBEAE-85BC-4787-A096-6250802F2B67}"/>
    <cellStyle name="Normal 4 7 2" xfId="5346" xr:uid="{A6A1F33C-D006-4759-B575-9429A737C58C}"/>
    <cellStyle name="Normal 4 8" xfId="5347" xr:uid="{63D018F0-AE80-4494-B64A-5BFEE8862F4D}"/>
    <cellStyle name="Normal 4_Deuda septiembre_marcos" xfId="2119" xr:uid="{67BD6D8C-E1AB-497C-82E8-54931EBA79AA}"/>
    <cellStyle name="Normal 40" xfId="5348" xr:uid="{C6C97282-0ADE-4862-8034-08B09AD7443A}"/>
    <cellStyle name="Normal 41" xfId="2120" xr:uid="{CF6260DE-CD5D-413C-9032-45F2C11DA828}"/>
    <cellStyle name="Normal 42" xfId="5349" xr:uid="{0B796107-8250-4F63-806F-C00A3F6C9229}"/>
    <cellStyle name="Normal 43" xfId="5350" xr:uid="{70E5B3EF-F5CB-45F1-96B2-4CE925B27024}"/>
    <cellStyle name="Normal 44" xfId="3742" xr:uid="{02C621C6-062F-441F-8E01-0285EF635E08}"/>
    <cellStyle name="Normal 44 2" xfId="5351" xr:uid="{D6E742E5-D070-4DB7-8027-FF7B361065FA}"/>
    <cellStyle name="Normal 45" xfId="5352" xr:uid="{ADDF9C83-A23A-4204-9D6B-32EC9BD834D5}"/>
    <cellStyle name="Normal 46" xfId="5353" xr:uid="{D4962905-D50B-44CD-B6D2-5570CB9C6997}"/>
    <cellStyle name="Normal 47" xfId="5354" xr:uid="{CC86D6E6-1074-4B26-B370-DB105C412B85}"/>
    <cellStyle name="Normal 48" xfId="5355" xr:uid="{1FE9F4E9-AF8C-42B2-B1AD-28C2AE4F586F}"/>
    <cellStyle name="Normal 49" xfId="2121" xr:uid="{BEF3ED20-A81B-47F7-B3E4-E60A31E69C93}"/>
    <cellStyle name="Normal 5" xfId="2122" xr:uid="{7E72A771-F0E4-446D-B28E-5413050631F7}"/>
    <cellStyle name="Normal 5 2" xfId="3682" xr:uid="{F41F06A0-C28D-4F30-93F8-7C2B35C61ECA}"/>
    <cellStyle name="Normal 5 2 2" xfId="5356" xr:uid="{5485907A-647D-4E0E-B1D5-8612A06DD3B6}"/>
    <cellStyle name="Normal 5 3" xfId="3683" xr:uid="{5AF624F7-4C13-4BFC-A5AD-6953C1DF87E8}"/>
    <cellStyle name="Normal 5 3 2" xfId="5357" xr:uid="{9770573E-ECFC-423C-9574-2DA690D586BA}"/>
    <cellStyle name="Normal 5 4" xfId="3684" xr:uid="{66668DAC-9097-4957-AA01-A938DAD9D83E}"/>
    <cellStyle name="Normal 5 4 2" xfId="5358" xr:uid="{F85417BD-FE11-4B51-9E3B-9FE57AF8B5FD}"/>
    <cellStyle name="Normal 5 5" xfId="5359" xr:uid="{8751C093-42D7-4924-BC04-FAC76E18842A}"/>
    <cellStyle name="Normal 5 6" xfId="5360" xr:uid="{EB300FCD-DB33-4B80-8950-AF0E07DD7140}"/>
    <cellStyle name="Normal 50" xfId="5361" xr:uid="{3BAC5EA1-27EF-4707-9C10-F9326C961A68}"/>
    <cellStyle name="Normal 51" xfId="5362" xr:uid="{51BA2747-C91C-46D1-955E-9A08F0EE43F4}"/>
    <cellStyle name="Normal 52" xfId="5363" xr:uid="{73FD92B8-46B6-4239-8A36-3E5CAF289282}"/>
    <cellStyle name="Normal 53" xfId="5364" xr:uid="{A71E964E-9CA0-49B5-B6B8-118E006B62B4}"/>
    <cellStyle name="Normal 54" xfId="5365" xr:uid="{D665A314-FF85-4790-9418-8C90CF2FDCDA}"/>
    <cellStyle name="Normal 55" xfId="5366" xr:uid="{4C920C03-23C7-479C-8EF5-7FEF4AA27722}"/>
    <cellStyle name="Normal 56" xfId="5367" xr:uid="{AD202F58-6386-4273-853D-317519267B0C}"/>
    <cellStyle name="Normal 57" xfId="5368" xr:uid="{1178822A-2C68-451B-8757-5CAA344D4455}"/>
    <cellStyle name="Normal 58" xfId="5369" xr:uid="{CFAD8001-8F79-433F-8A87-60A0FAFCC0F5}"/>
    <cellStyle name="Normal 59" xfId="6700" xr:uid="{145F9368-088D-4A25-A65B-0BDC4ECF7219}"/>
    <cellStyle name="Normal 6" xfId="2123" xr:uid="{00B2C5C0-EB74-49BC-9C51-6F6841E3810D}"/>
    <cellStyle name="Normal 6 2" xfId="2124" xr:uid="{20E55C88-B17C-4E84-B24D-BF0169485EEC}"/>
    <cellStyle name="Normal 6 2 10" xfId="5370" xr:uid="{3E1C0526-C5B6-4311-912F-39E3C0027188}"/>
    <cellStyle name="Normal 6 2 2" xfId="2125" xr:uid="{C545B2C2-3F51-4878-8B3C-28701ED3E3AC}"/>
    <cellStyle name="Normal 6 2 2 2" xfId="5371" xr:uid="{D7639451-3498-4536-BD97-2C1CB7B866BD}"/>
    <cellStyle name="Normal 6 2 2 3" xfId="5372" xr:uid="{BC9381C4-651D-4A5C-A22D-AAF870439CE1}"/>
    <cellStyle name="Normal 6 2 2 4" xfId="5373" xr:uid="{223C8045-E6DA-4087-90C2-8A8DCBE83221}"/>
    <cellStyle name="Normal 6 2 3" xfId="3685" xr:uid="{8AF2DDE8-C9EB-439D-9067-5714BC4BAECA}"/>
    <cellStyle name="Normal 6 2 3 2" xfId="5374" xr:uid="{3B9A3016-C82A-4522-9124-29F779463C0F}"/>
    <cellStyle name="Normal 6 2 4" xfId="3686" xr:uid="{86CB780E-A38C-484F-AFD8-1BD20CFC5F23}"/>
    <cellStyle name="Normal 6 2 4 2" xfId="5375" xr:uid="{32E7850C-FE1C-4F26-97A8-CE712EB6DBEE}"/>
    <cellStyle name="Normal 6 2 5" xfId="3687" xr:uid="{269D6E35-68B4-4E66-9100-EA4E6B7BF0D1}"/>
    <cellStyle name="Normal 6 2 5 2" xfId="5376" xr:uid="{2F990AC5-6EAD-4BF7-B54A-63D89FBA6D46}"/>
    <cellStyle name="Normal 6 2 6" xfId="5377" xr:uid="{AB52642A-24A2-4CAB-9C6C-29B144143B34}"/>
    <cellStyle name="Normal 6 2 6 2" xfId="5378" xr:uid="{AE137CAA-FF4D-4A45-AFDE-450AF2719884}"/>
    <cellStyle name="Normal 6 2 7" xfId="5379" xr:uid="{1082E28E-ED94-4E7F-B032-1D5040E97A30}"/>
    <cellStyle name="Normal 6 2 7 2" xfId="5380" xr:uid="{FFB05173-30CF-4F87-A05E-144B51434D10}"/>
    <cellStyle name="Normal 6 2 8" xfId="5381" xr:uid="{34062F13-CB64-4CD6-82E0-2E1D7AB12EDF}"/>
    <cellStyle name="Normal 6 2 8 2" xfId="5382" xr:uid="{7AE62996-73DD-49C8-B924-02A49878902A}"/>
    <cellStyle name="Normal 6 2 8 3" xfId="5383" xr:uid="{12FE187D-FC51-44E1-834F-E3EFFED4A19D}"/>
    <cellStyle name="Normal 6 2 8 4" xfId="5384" xr:uid="{2B82FF7F-EE5F-4342-BC3D-E83669BF2B97}"/>
    <cellStyle name="Normal 6 2 9" xfId="5385" xr:uid="{CDC17F2A-419A-45D8-A7AF-98BA8FE5A1FD}"/>
    <cellStyle name="Normal 6 2 9 2" xfId="5386" xr:uid="{C3894EA9-18A9-404E-9134-BA2A7B88F541}"/>
    <cellStyle name="Normal 6 2_Deuda septiembre_marcos" xfId="2126" xr:uid="{6EAEAB75-ABEE-4C94-8AB3-B6FBDE1B800E}"/>
    <cellStyle name="Normal 6 3" xfId="2127" xr:uid="{B51C863F-359F-4506-BF74-61363EA6A0B3}"/>
    <cellStyle name="Normal 6 4" xfId="5387" xr:uid="{B55B35C2-CAEC-4E1F-8BEA-07BD170FFC61}"/>
    <cellStyle name="Normal 6 5" xfId="5388" xr:uid="{599D18EA-8F22-4F23-A361-26DC899A4AAC}"/>
    <cellStyle name="Normal 6_Deuda septiembre_marcos" xfId="2128" xr:uid="{3D638DBF-9F00-45B3-9D8A-5BA5F90C3520}"/>
    <cellStyle name="Normal 7" xfId="2129" xr:uid="{C2265829-4DD0-4043-A178-D877DFE507FB}"/>
    <cellStyle name="Normal 7 2" xfId="2130" xr:uid="{9A55ED23-CBA1-4563-8DCF-99E47B61EB27}"/>
    <cellStyle name="Normal 7 3" xfId="5389" xr:uid="{967EB23F-E382-4CE3-88ED-861094AA1E29}"/>
    <cellStyle name="Normal 7_Deuda septiembre_marcos" xfId="2131" xr:uid="{F5A11B90-8722-438E-A781-74FF5FCA5EF7}"/>
    <cellStyle name="Normal 73" xfId="5390" xr:uid="{333DA2EC-8E64-42CA-9800-CCC2C405D6EC}"/>
    <cellStyle name="Normal 8" xfId="2132" xr:uid="{67FF0F2D-1FB0-4139-8DEE-977E4BBB2CBB}"/>
    <cellStyle name="Normal 8 2" xfId="5391" xr:uid="{B90466F2-FD6F-448C-ABFA-CC87CD93B302}"/>
    <cellStyle name="Normal 8 3" xfId="5392" xr:uid="{4116F8F9-82C2-485D-96D4-56678450A40B}"/>
    <cellStyle name="Normal 9" xfId="2133" xr:uid="{BAB96D54-60D4-4288-BFA8-B00280B0CCE9}"/>
    <cellStyle name="Normal 9 2" xfId="3688" xr:uid="{7BEBA9A9-54CD-4D9D-95D6-3C696B6F0076}"/>
    <cellStyle name="Normal 9 2 2" xfId="5393" xr:uid="{AEE87D7D-F13C-4BA4-BF24-BB4DD788F6C1}"/>
    <cellStyle name="Normal 9 3" xfId="3689" xr:uid="{51093173-8290-4011-9AD9-ACE59F4601F4}"/>
    <cellStyle name="Normal 9 3 2" xfId="5394" xr:uid="{6FF87A54-E2D5-4752-B55F-0BDD097A3240}"/>
    <cellStyle name="Normal 9 4" xfId="5395" xr:uid="{4B79A7DA-8162-4ADF-9DD4-C63A0E7A3DE3}"/>
    <cellStyle name="Normal 9 4 2" xfId="5396" xr:uid="{35157D20-7275-48BE-856F-0CA45534DB93}"/>
    <cellStyle name="Normal 9 5" xfId="5397" xr:uid="{D090C7D0-A583-40B4-AC10-EE17DF40AE08}"/>
    <cellStyle name="Normal 9 5 2" xfId="5398" xr:uid="{599D7B56-665A-4562-90F5-17D9EDF955D4}"/>
    <cellStyle name="Normal 9 6" xfId="5399" xr:uid="{E2F58985-2734-468D-A7C2-EE34F5D4BC57}"/>
    <cellStyle name="Normal 9 6 2" xfId="5400" xr:uid="{572C8112-20E0-4BC3-91B1-473E73AAF981}"/>
    <cellStyle name="Normal 9 7" xfId="5401" xr:uid="{E721E345-16CA-4F5A-9DE9-1DFD35C31FF0}"/>
    <cellStyle name="Normal 9 7 2" xfId="5402" xr:uid="{1588882A-061D-40CF-86B6-BDC6BD5FE478}"/>
    <cellStyle name="Normal 9 8" xfId="5403" xr:uid="{97DB39C9-CC55-4863-A456-725AE63D6102}"/>
    <cellStyle name="Normal_Renta 2002 KCC Ltda" xfId="14" xr:uid="{54EA8F6A-E255-4103-96A6-618D1C504013}"/>
    <cellStyle name="Nota" xfId="2134" xr:uid="{661228C9-79A0-4877-AA69-FA9B11F6BE96}"/>
    <cellStyle name="Notas 10" xfId="3441" xr:uid="{AA55338F-B003-4AE4-B11D-74DCC6EA42C7}"/>
    <cellStyle name="Notas 2" xfId="2135" xr:uid="{B359AA4F-BF10-4FA2-BF3F-8D3CAE13276E}"/>
    <cellStyle name="Notas 2 10" xfId="3690" xr:uid="{3922F60C-A3AF-4241-BF8A-0AAF700011D6}"/>
    <cellStyle name="Notas 2 10 2" xfId="3691" xr:uid="{08989B8E-6D3E-49C7-90B5-FEEB037120F3}"/>
    <cellStyle name="Notas 2 10 2 2" xfId="5404" xr:uid="{FA0884D3-1BE6-4B7B-BDE7-4AC53E7EE683}"/>
    <cellStyle name="Notas 2 10 2 2 2" xfId="5405" xr:uid="{22DA255D-E997-4A1F-87E6-ED438D43B6CF}"/>
    <cellStyle name="Notas 2 10 2 3" xfId="5406" xr:uid="{5531D359-47F2-4657-8C8F-CE1969CB9302}"/>
    <cellStyle name="Notas 2 10 2 3 2" xfId="5407" xr:uid="{26FAD8D0-31C7-4669-AD13-E7689D3F1C76}"/>
    <cellStyle name="Notas 2 10 2 4" xfId="5408" xr:uid="{5B883AC8-503D-4C76-8866-654FFCEAE18E}"/>
    <cellStyle name="Notas 2 10 2 5" xfId="5409" xr:uid="{34A7671D-21C7-4937-A389-D01BD45C4BE7}"/>
    <cellStyle name="Notas 2 10 2 6" xfId="5410" xr:uid="{61FA2C84-2126-4405-BF72-DDF12893E47A}"/>
    <cellStyle name="Notas 2 10 3" xfId="3692" xr:uid="{500D7615-16B8-4E24-8DAD-AE9ED64E2FCD}"/>
    <cellStyle name="Notas 2 10 3 2" xfId="5411" xr:uid="{8789571F-486D-4517-95B2-596B9736793A}"/>
    <cellStyle name="Notas 2 10 3 3" xfId="5412" xr:uid="{565A446C-73EA-4B06-8EB6-CC5F77B97923}"/>
    <cellStyle name="Notas 2 10 3 4" xfId="5413" xr:uid="{8B7CB8F6-0874-4625-A37A-043042BB7B46}"/>
    <cellStyle name="Notas 2 10 3 5" xfId="5414" xr:uid="{797C3D78-7AD8-453A-AC36-628EAAFEA971}"/>
    <cellStyle name="Notas 2 10 3 6" xfId="5415" xr:uid="{A732D5B1-F7BA-457F-A01C-8067915CE48F}"/>
    <cellStyle name="Notas 2 10 4" xfId="5416" xr:uid="{188DA6B4-0CC9-4CCF-8AAF-676EA4152D10}"/>
    <cellStyle name="Notas 2 10 4 2" xfId="5417" xr:uid="{350E6B76-59B8-450D-B7C5-C7CA88C204EE}"/>
    <cellStyle name="Notas 2 10 4 3" xfId="5418" xr:uid="{82887B6E-8E42-4F6E-BDE6-7FA80184EFEB}"/>
    <cellStyle name="Notas 2 10 4 4" xfId="5419" xr:uid="{0E958150-EAD8-45A9-B612-4D9FF9F20FEE}"/>
    <cellStyle name="Notas 2 10 4 5" xfId="5420" xr:uid="{35763D4E-62DF-440A-ACD9-C9F13B8D6304}"/>
    <cellStyle name="Notas 2 10 5" xfId="5421" xr:uid="{19E9BEAE-15BF-4D04-B219-1859A61F61BB}"/>
    <cellStyle name="Notas 2 10 5 2" xfId="5422" xr:uid="{43DAE269-9C0E-4995-9468-4CB8E9CEA0EB}"/>
    <cellStyle name="Notas 2 10 5 3" xfId="5423" xr:uid="{A9515617-552D-45C7-BDBB-C92C6457879E}"/>
    <cellStyle name="Notas 2 10 5 4" xfId="5424" xr:uid="{341F3DF9-6287-475A-B52F-0E2A66346AC0}"/>
    <cellStyle name="Notas 2 10 5 5" xfId="5425" xr:uid="{1BC0E0BB-1F08-4055-A067-2D20D7F856F1}"/>
    <cellStyle name="Notas 2 10 6" xfId="5426" xr:uid="{45334A8B-6D78-47C1-B60F-CF958708EFBA}"/>
    <cellStyle name="Notas 2 10 6 2" xfId="5427" xr:uid="{762BC218-2B4D-48A6-AB54-372DAF3EB693}"/>
    <cellStyle name="Notas 2 10 6 3" xfId="5428" xr:uid="{769563F8-6A1B-4131-81D3-68A2FE17C6F1}"/>
    <cellStyle name="Notas 2 10 6 4" xfId="5429" xr:uid="{B67E80A0-E8B5-4454-926B-8A89CFAD5F47}"/>
    <cellStyle name="Notas 2 10 6 5" xfId="5430" xr:uid="{1CCDEEA6-C192-4E0C-917E-D2FFD060FBC1}"/>
    <cellStyle name="Notas 2 10 7" xfId="5431" xr:uid="{D1B4AD37-8076-4734-A511-E8226F965010}"/>
    <cellStyle name="Notas 2 10 7 2" xfId="5432" xr:uid="{D752E00C-851F-47C4-9C9D-DAEED5B75956}"/>
    <cellStyle name="Notas 2 10 7 3" xfId="5433" xr:uid="{D958F2CA-EF6D-4FAC-9DA1-FA5AEE3DC70D}"/>
    <cellStyle name="Notas 2 10 7 4" xfId="5434" xr:uid="{14841717-EB29-4D16-A0B2-87F782852E0A}"/>
    <cellStyle name="Notas 2 10 7 5" xfId="5435" xr:uid="{3FCB316B-2C4B-42A8-8A15-C9206C6C2742}"/>
    <cellStyle name="Notas 2 11" xfId="3693" xr:uid="{892BEB65-09A9-4545-B9F0-F3EA30C45EE8}"/>
    <cellStyle name="Notas 2 11 2" xfId="3694" xr:uid="{44D84736-D2F2-46B7-91DD-89244DD6746B}"/>
    <cellStyle name="Notas 2 11 2 2" xfId="5436" xr:uid="{291E79D8-A9F2-4C27-AE38-9AE09D9F4198}"/>
    <cellStyle name="Notas 2 11 2 2 2" xfId="5437" xr:uid="{CA144BBC-4C85-4D45-9FD6-9C04F8AE3261}"/>
    <cellStyle name="Notas 2 11 2 3" xfId="5438" xr:uid="{B7E6A8EC-8627-4E11-8778-0EAC73F80DAD}"/>
    <cellStyle name="Notas 2 11 2 3 2" xfId="5439" xr:uid="{231E7677-B2C0-40C7-8A8E-41C491253F60}"/>
    <cellStyle name="Notas 2 11 2 4" xfId="5440" xr:uid="{49387B33-8069-4EA3-98B5-21A139F840A7}"/>
    <cellStyle name="Notas 2 11 2 5" xfId="5441" xr:uid="{CB4DC275-E9CD-4878-A6AF-CBADF9BA81F3}"/>
    <cellStyle name="Notas 2 11 2 6" xfId="5442" xr:uid="{D82B0F41-921E-4990-ACF2-6906BB7EF06C}"/>
    <cellStyle name="Notas 2 11 3" xfId="3695" xr:uid="{231D7935-74C6-47EE-BDEF-D84E07B5C645}"/>
    <cellStyle name="Notas 2 11 3 2" xfId="5443" xr:uid="{AF3423DA-0C94-4592-9B69-30FBF19A8A0E}"/>
    <cellStyle name="Notas 2 11 3 3" xfId="5444" xr:uid="{F14399D1-CE50-472B-A49D-7F8CABD7E3FB}"/>
    <cellStyle name="Notas 2 11 3 4" xfId="5445" xr:uid="{518AE11E-C513-4EF1-8236-480987D2C8AF}"/>
    <cellStyle name="Notas 2 11 3 5" xfId="5446" xr:uid="{A4740732-94E4-4358-BC74-FB6723ED4A6C}"/>
    <cellStyle name="Notas 2 11 3 6" xfId="5447" xr:uid="{B5CECCFD-602D-4BCC-AD40-60EEEC91E63F}"/>
    <cellStyle name="Notas 2 11 4" xfId="5448" xr:uid="{8DE60834-0FE5-48D7-957E-29A2A25B3ECC}"/>
    <cellStyle name="Notas 2 11 4 2" xfId="5449" xr:uid="{5424A101-C211-4E62-836D-DE9D0FE1EC7E}"/>
    <cellStyle name="Notas 2 11 4 3" xfId="5450" xr:uid="{49450DDF-ED2F-48DA-9D9C-831A36A1A807}"/>
    <cellStyle name="Notas 2 11 4 4" xfId="5451" xr:uid="{FCDBF042-E008-4A23-8164-F43AA8BEF886}"/>
    <cellStyle name="Notas 2 11 4 5" xfId="5452" xr:uid="{C1852379-8CA0-460D-8539-F079A8CC38F5}"/>
    <cellStyle name="Notas 2 11 5" xfId="5453" xr:uid="{73D05279-DDC3-49DB-9509-B7791AFC31ED}"/>
    <cellStyle name="Notas 2 11 5 2" xfId="5454" xr:uid="{45FAFD61-1976-40DD-ADC4-3B922715571D}"/>
    <cellStyle name="Notas 2 11 5 3" xfId="5455" xr:uid="{7205643B-A006-4DB3-9726-2F641E93FC7F}"/>
    <cellStyle name="Notas 2 11 5 4" xfId="5456" xr:uid="{9804FED6-5562-4D91-8AA9-25F807468269}"/>
    <cellStyle name="Notas 2 11 5 5" xfId="5457" xr:uid="{2FEB3862-6F03-4235-8862-152E3279FF98}"/>
    <cellStyle name="Notas 2 11 6" xfId="5458" xr:uid="{45E0ED7B-FDEE-454F-B756-89DFC72F27B9}"/>
    <cellStyle name="Notas 2 11 6 2" xfId="5459" xr:uid="{EA562B9E-9A61-4A02-9281-D24E561D9823}"/>
    <cellStyle name="Notas 2 11 6 3" xfId="5460" xr:uid="{F22CB059-6DE6-488B-8C3A-EAF7D3B523C3}"/>
    <cellStyle name="Notas 2 11 6 4" xfId="5461" xr:uid="{727563DF-6AC2-41BC-9EE5-9AD3E44BD12F}"/>
    <cellStyle name="Notas 2 11 6 5" xfId="5462" xr:uid="{D146DB18-2D8D-4AC3-839B-EE9CF3DE35B2}"/>
    <cellStyle name="Notas 2 11 7" xfId="5463" xr:uid="{263B9F5C-03A8-478D-AACB-CEFAC152B8C8}"/>
    <cellStyle name="Notas 2 11 7 2" xfId="5464" xr:uid="{54406546-D9F1-4C5F-B873-A2336A2120CE}"/>
    <cellStyle name="Notas 2 11 7 3" xfId="5465" xr:uid="{C4F2FC8C-D8C6-4D86-A28F-64B89AB98D91}"/>
    <cellStyle name="Notas 2 11 7 4" xfId="5466" xr:uid="{31BFA5A4-0E99-4C4A-9DF7-21CD5C330DC0}"/>
    <cellStyle name="Notas 2 11 7 5" xfId="5467" xr:uid="{762C4921-114F-462F-9225-9409D8A50D83}"/>
    <cellStyle name="Notas 2 12" xfId="3696" xr:uid="{5B5710CD-2742-4E4F-9E80-6047E66F424A}"/>
    <cellStyle name="Notas 2 12 2" xfId="3697" xr:uid="{35EB880E-6AB5-495E-96AA-536FBBE02039}"/>
    <cellStyle name="Notas 2 12 2 2" xfId="5468" xr:uid="{4B981578-5F25-46B1-AD1E-54E9159E7818}"/>
    <cellStyle name="Notas 2 12 2 2 2" xfId="5469" xr:uid="{CA38EC4B-6F2E-4D10-949A-25993FE56006}"/>
    <cellStyle name="Notas 2 12 2 3" xfId="5470" xr:uid="{70A11FA4-4EA8-4D6E-8D8F-2838F8DD16E2}"/>
    <cellStyle name="Notas 2 12 2 3 2" xfId="5471" xr:uid="{B164F3D1-B3F3-459F-A77F-A54452D9996A}"/>
    <cellStyle name="Notas 2 12 2 4" xfId="5472" xr:uid="{BCDD65BE-A973-4220-B58C-02608EF420A4}"/>
    <cellStyle name="Notas 2 12 2 5" xfId="5473" xr:uid="{4DA0B486-37A6-41C5-A580-67A0EAE87779}"/>
    <cellStyle name="Notas 2 12 2 6" xfId="5474" xr:uid="{27ACF590-198F-4040-8F35-FBC6A1C236CA}"/>
    <cellStyle name="Notas 2 12 3" xfId="3698" xr:uid="{0FABF548-8A82-4533-80E6-4045F1F6615F}"/>
    <cellStyle name="Notas 2 12 3 2" xfId="5475" xr:uid="{260C643C-F360-48C8-AFB6-9092C867D3BF}"/>
    <cellStyle name="Notas 2 12 3 3" xfId="5476" xr:uid="{E75FFCB3-8525-447C-A1B2-54F0F3F18904}"/>
    <cellStyle name="Notas 2 12 3 4" xfId="5477" xr:uid="{66216BB8-E624-4803-A587-85080F70AD57}"/>
    <cellStyle name="Notas 2 12 3 5" xfId="5478" xr:uid="{8CF3065E-9D7B-4A4F-A801-7FA60A8D8316}"/>
    <cellStyle name="Notas 2 12 3 6" xfId="5479" xr:uid="{C6D96499-000B-41A6-B8DB-FC9D636F434B}"/>
    <cellStyle name="Notas 2 12 4" xfId="5480" xr:uid="{5569D22F-189A-4808-841A-B8300856A2FA}"/>
    <cellStyle name="Notas 2 12 4 2" xfId="5481" xr:uid="{BBA285D7-4EFB-440D-8E87-E8BE4F4B9471}"/>
    <cellStyle name="Notas 2 12 4 3" xfId="5482" xr:uid="{A977AE3C-614D-4F9E-BA0F-69E53EF320E0}"/>
    <cellStyle name="Notas 2 12 4 4" xfId="5483" xr:uid="{B0AC2E89-F42C-4C85-B325-FBE536CB11CC}"/>
    <cellStyle name="Notas 2 12 4 5" xfId="5484" xr:uid="{CB791DE6-1F46-4491-834C-1396D6465526}"/>
    <cellStyle name="Notas 2 12 5" xfId="5485" xr:uid="{79FE09CB-A0A9-4084-8F01-6D142825D065}"/>
    <cellStyle name="Notas 2 12 5 2" xfId="5486" xr:uid="{4531EB0B-12D9-4A8C-92F7-E65B21649E91}"/>
    <cellStyle name="Notas 2 12 5 3" xfId="5487" xr:uid="{9E3F1CD2-1EA8-4AB2-B5D9-85E11B962469}"/>
    <cellStyle name="Notas 2 12 5 4" xfId="5488" xr:uid="{648CD4F5-2592-42ED-99E4-5AD6B7616D8E}"/>
    <cellStyle name="Notas 2 12 5 5" xfId="5489" xr:uid="{18C5400A-E62C-44B9-9918-A8BC4427F069}"/>
    <cellStyle name="Notas 2 12 6" xfId="5490" xr:uid="{800350DE-43B5-421C-92C4-6B05A479EFB1}"/>
    <cellStyle name="Notas 2 12 6 2" xfId="5491" xr:uid="{65051E59-D918-4C91-8ADC-BA89B9C18BF7}"/>
    <cellStyle name="Notas 2 12 6 3" xfId="5492" xr:uid="{2B6C321D-68CD-44BC-813C-778F99B806B5}"/>
    <cellStyle name="Notas 2 12 6 4" xfId="5493" xr:uid="{6000EB81-EC76-4E7E-9EBD-0E93BF137591}"/>
    <cellStyle name="Notas 2 12 6 5" xfId="5494" xr:uid="{47376707-F5EE-48FD-BD31-CF8A14C73BEB}"/>
    <cellStyle name="Notas 2 12 7" xfId="5495" xr:uid="{27928B90-BB65-46C4-8A3F-A1F8CDFC0B39}"/>
    <cellStyle name="Notas 2 12 7 2" xfId="5496" xr:uid="{CEFCD572-D092-432F-8360-71F74999B93A}"/>
    <cellStyle name="Notas 2 12 7 3" xfId="5497" xr:uid="{65CE3AA6-0634-4BE0-A328-76097C510D85}"/>
    <cellStyle name="Notas 2 12 7 4" xfId="5498" xr:uid="{BA586499-9E66-4388-A325-95413E0D494A}"/>
    <cellStyle name="Notas 2 12 7 5" xfId="5499" xr:uid="{96718EA6-E3DD-4BCE-9B77-B679EA03D171}"/>
    <cellStyle name="Notas 2 13" xfId="3699" xr:uid="{80E25E82-19BF-4892-B117-14C2B97BF1F4}"/>
    <cellStyle name="Notas 2 13 2" xfId="5500" xr:uid="{50C5CB5B-494F-49E0-9C3D-00C6BADC07F3}"/>
    <cellStyle name="Notas 2 13 3" xfId="5501" xr:uid="{33376ECF-ED4F-4E84-B63E-215F9908E454}"/>
    <cellStyle name="Notas 2 13 4" xfId="5502" xr:uid="{16984D4E-27B8-4AD5-AAC6-9E75E78C752B}"/>
    <cellStyle name="Notas 2 13 5" xfId="5503" xr:uid="{F3D63143-0269-4B19-AFB7-47188C08A6F4}"/>
    <cellStyle name="Notas 2 13 6" xfId="5504" xr:uid="{BDD55748-8908-4056-8546-F8B1F17F984A}"/>
    <cellStyle name="Notas 2 14" xfId="3700" xr:uid="{5549C336-FFE8-43A8-A3B4-09D6E99FE6F5}"/>
    <cellStyle name="Notas 2 14 2" xfId="5505" xr:uid="{06E859DB-0C9D-41B2-A3A1-808E1C112E1E}"/>
    <cellStyle name="Notas 2 14 3" xfId="5506" xr:uid="{7FE1D5F0-2BCC-481E-9C9F-8F762894D7F5}"/>
    <cellStyle name="Notas 2 14 4" xfId="5507" xr:uid="{1D93B299-9937-4C0F-BD32-95EEFAB64DA8}"/>
    <cellStyle name="Notas 2 14 5" xfId="5508" xr:uid="{274AEAE0-1006-43F1-A42F-AECFAF5988B6}"/>
    <cellStyle name="Notas 2 14 6" xfId="5509" xr:uid="{70519B4E-801F-402F-AF5C-D17552136F4C}"/>
    <cellStyle name="Notas 2 15" xfId="3701" xr:uid="{781324D0-631A-4FF2-9D6B-C364AE8F76EB}"/>
    <cellStyle name="Notas 2 15 2" xfId="5510" xr:uid="{3E3EFE52-F0A8-480F-96B9-7C7255906340}"/>
    <cellStyle name="Notas 2 15 3" xfId="5511" xr:uid="{575E4B8A-B06A-4740-97B3-BCB0444445EE}"/>
    <cellStyle name="Notas 2 15 4" xfId="5512" xr:uid="{73A0D058-3D39-431A-9A5B-E35328D5F194}"/>
    <cellStyle name="Notas 2 15 5" xfId="5513" xr:uid="{69C629CE-DF7F-49DF-8D2F-E30D5A7EC19C}"/>
    <cellStyle name="Notas 2 15 6" xfId="5514" xr:uid="{B1F32499-AA70-413F-9490-8163622FE1D4}"/>
    <cellStyle name="Notas 2 16" xfId="5515" xr:uid="{528AC747-EE73-44EE-9E38-E2F2BF11E093}"/>
    <cellStyle name="Notas 2 16 2" xfId="5516" xr:uid="{0A3A7404-89CB-4E5D-A3C0-020AB0E4D64C}"/>
    <cellStyle name="Notas 2 16 3" xfId="5517" xr:uid="{C94D5865-DA78-4CAE-AEC4-FDA582C40C84}"/>
    <cellStyle name="Notas 2 16 4" xfId="5518" xr:uid="{2CE13CFE-54BC-4A05-97B8-67D04A48B870}"/>
    <cellStyle name="Notas 2 16 5" xfId="5519" xr:uid="{336BF1C3-7A48-44B3-A09F-E89A556AA6A9}"/>
    <cellStyle name="Notas 2 17" xfId="5520" xr:uid="{008A4643-E64A-4258-BB8A-5796F0BF806A}"/>
    <cellStyle name="Notas 2 17 2" xfId="5521" xr:uid="{9380A443-0BBD-42AA-928A-A760E3E5F745}"/>
    <cellStyle name="Notas 2 17 3" xfId="5522" xr:uid="{9C6C31C1-22A0-4C30-B37B-9A667E5F8035}"/>
    <cellStyle name="Notas 2 17 4" xfId="5523" xr:uid="{83220645-7184-479B-AF73-3C2F9ABC8B57}"/>
    <cellStyle name="Notas 2 17 5" xfId="5524" xr:uid="{077BF858-11E6-4448-932C-950B3013157E}"/>
    <cellStyle name="Notas 2 18" xfId="5525" xr:uid="{12B33C3E-0437-4D0F-B8DA-47168231FB0D}"/>
    <cellStyle name="Notas 2 18 2" xfId="5526" xr:uid="{DE3B0943-979E-4D7E-8276-963CFB297BD0}"/>
    <cellStyle name="Notas 2 18 3" xfId="5527" xr:uid="{2B4EA798-1116-401C-AF9F-FFB18CC25B0B}"/>
    <cellStyle name="Notas 2 18 4" xfId="5528" xr:uid="{CCC1C016-EF44-4849-B6F4-6AAFA88F4FA1}"/>
    <cellStyle name="Notas 2 18 5" xfId="5529" xr:uid="{0BC27AA9-088A-4057-9E5F-9F0BB377FEB3}"/>
    <cellStyle name="Notas 2 19" xfId="5530" xr:uid="{7E869AAC-33B4-401C-A883-6D7137A1EB60}"/>
    <cellStyle name="Notas 2 19 2" xfId="5531" xr:uid="{7B1FAF1B-F907-4D35-AFC9-FCB7CD48B55A}"/>
    <cellStyle name="Notas 2 19 2 2" xfId="5532" xr:uid="{FD4D5BA8-E5CC-4B15-91B3-CE81F1F0CCE6}"/>
    <cellStyle name="Notas 2 19 3" xfId="5533" xr:uid="{A9A985F4-4975-46FE-B18E-0481D3319000}"/>
    <cellStyle name="Notas 2 19 4" xfId="5534" xr:uid="{F46ED681-3E06-40AC-8DE8-A3F545BD6871}"/>
    <cellStyle name="Notas 2 19 5" xfId="5535" xr:uid="{FFEF2368-4DEE-4C2A-974F-E573C631F689}"/>
    <cellStyle name="Notas 2 19 6" xfId="5536" xr:uid="{6E91C6F1-749D-40CF-A6D0-27AC707A316D}"/>
    <cellStyle name="Notas 2 2" xfId="2136" xr:uid="{0CCC2544-DC6E-4544-9B37-BB6F89ECAA0C}"/>
    <cellStyle name="Notas 2 2 2" xfId="3702" xr:uid="{DE6D6C7D-0589-45FD-AED1-10B8A12CCA3E}"/>
    <cellStyle name="Notas 2 2 2 2" xfId="5537" xr:uid="{5ECDF6DC-D10E-499D-B8A1-64295CFF06CC}"/>
    <cellStyle name="Notas 2 2 2 2 2" xfId="5538" xr:uid="{8E509299-2426-4A5E-933C-3EFF6D581F69}"/>
    <cellStyle name="Notas 2 2 2 3" xfId="5539" xr:uid="{617A2F5D-4F6F-4696-A91C-D5F9583BFB43}"/>
    <cellStyle name="Notas 2 2 2 3 2" xfId="5540" xr:uid="{5EEE19D1-2041-4F3B-85A4-17E7EA9D88BF}"/>
    <cellStyle name="Notas 2 2 2 4" xfId="5541" xr:uid="{14BEA17B-1F9C-41CF-96BF-D8E0F6B8CA23}"/>
    <cellStyle name="Notas 2 2 2 5" xfId="5542" xr:uid="{B9C5FBD9-31A5-4236-AA82-27FC50F97288}"/>
    <cellStyle name="Notas 2 2 2 6" xfId="5543" xr:uid="{7BB1AFF4-5A31-4AFA-82B4-14CCAF27CC1B}"/>
    <cellStyle name="Notas 2 2 2 7" xfId="5544" xr:uid="{C232C6CE-2BE8-477D-9C66-C1A8B6CD7CB6}"/>
    <cellStyle name="Notas 2 2 3" xfId="3703" xr:uid="{4C0CDBFC-7A49-42D0-908E-5B311E3F8F7A}"/>
    <cellStyle name="Notas 2 2 3 2" xfId="5545" xr:uid="{9836E68F-C45A-4DDA-8816-A6CA96516AFC}"/>
    <cellStyle name="Notas 2 2 3 3" xfId="5546" xr:uid="{D1EBC2F4-54F3-48A2-B2DD-F6B43E985E2F}"/>
    <cellStyle name="Notas 2 2 3 4" xfId="5547" xr:uid="{3ABE6F8C-E5B3-49C8-81DD-EC830FBDF795}"/>
    <cellStyle name="Notas 2 2 3 5" xfId="5548" xr:uid="{A823BB98-3A7F-4FEF-BC21-09DCE73DBEEE}"/>
    <cellStyle name="Notas 2 2 3 6" xfId="5549" xr:uid="{321F5882-52B3-466A-9774-271A65438883}"/>
    <cellStyle name="Notas 2 2 4" xfId="5550" xr:uid="{CD7F72FC-CF93-4019-9B6F-90B4801D3F3A}"/>
    <cellStyle name="Notas 2 2 4 2" xfId="5551" xr:uid="{236AAEB7-0932-48E1-BF7D-5EBCF1CD4D73}"/>
    <cellStyle name="Notas 2 2 4 3" xfId="5552" xr:uid="{B53C80FD-B699-4669-A940-D8460F288B80}"/>
    <cellStyle name="Notas 2 2 4 4" xfId="5553" xr:uid="{BA0E74C4-E1C3-4E48-94D9-B28B4EFAD9E2}"/>
    <cellStyle name="Notas 2 2 4 5" xfId="5554" xr:uid="{A197DFB2-9EE5-41C8-AD49-973A6F7CD878}"/>
    <cellStyle name="Notas 2 2 5" xfId="5555" xr:uid="{87807264-3C95-41DB-AEB5-F0FF0EBAED9A}"/>
    <cellStyle name="Notas 2 2 5 2" xfId="5556" xr:uid="{FBC0A5B7-E728-4CF6-AC92-26B5B6DBAC1B}"/>
    <cellStyle name="Notas 2 2 5 3" xfId="5557" xr:uid="{8ABFB2F3-E894-4AE9-A82F-6B0C857A4D00}"/>
    <cellStyle name="Notas 2 2 5 4" xfId="5558" xr:uid="{CDA05510-03DE-42D5-9201-0F14CED30583}"/>
    <cellStyle name="Notas 2 2 5 5" xfId="5559" xr:uid="{758CE4BE-78E3-4C8C-A43D-6329F5BA4FDE}"/>
    <cellStyle name="Notas 2 2 6" xfId="5560" xr:uid="{EFB0AD2F-7A59-450B-B2D7-87AC7F7E9F9D}"/>
    <cellStyle name="Notas 2 2 6 2" xfId="5561" xr:uid="{89AC040A-E542-4271-AD87-D5C4B1CFB056}"/>
    <cellStyle name="Notas 2 2 6 3" xfId="5562" xr:uid="{F70BA4F8-F77D-4C32-A41C-4049B9BCD4F8}"/>
    <cellStyle name="Notas 2 2 6 4" xfId="5563" xr:uid="{9870A775-9E52-4A36-A851-A40F37C083BA}"/>
    <cellStyle name="Notas 2 2 6 5" xfId="5564" xr:uid="{A4103451-D415-4528-A31B-145A7C720E37}"/>
    <cellStyle name="Notas 2 2 7" xfId="5565" xr:uid="{CB058A26-86C9-4373-B6C5-4C3E0AD2349D}"/>
    <cellStyle name="Notas 2 2 7 2" xfId="5566" xr:uid="{6C13711C-6D60-4B31-AFD8-27C1F33A9394}"/>
    <cellStyle name="Notas 2 2 7 3" xfId="5567" xr:uid="{2D6ACEEC-DA82-42FE-A7F6-34C0DE084AE5}"/>
    <cellStyle name="Notas 2 2 7 4" xfId="5568" xr:uid="{784C1C91-7C8D-48E5-B9CA-56C7876A4E46}"/>
    <cellStyle name="Notas 2 2 7 5" xfId="5569" xr:uid="{3B9703D9-E7A7-4010-AD25-3951411A9258}"/>
    <cellStyle name="Notas 2 2 8" xfId="5570" xr:uid="{0CCE7667-0799-4E7A-AF70-B75414F00482}"/>
    <cellStyle name="Notas 2 20" xfId="5571" xr:uid="{98576FF7-5EF1-468E-A8B6-9DB8B5BB544D}"/>
    <cellStyle name="Notas 2 21" xfId="5572" xr:uid="{53CF3241-2944-4642-B7B6-E05EAFB460BF}"/>
    <cellStyle name="Notas 2 22" xfId="5573" xr:uid="{07EA144C-2904-4B1F-96CC-D4EB59DA8983}"/>
    <cellStyle name="Notas 2 3" xfId="3704" xr:uid="{67C76D21-28B2-4E83-A831-E2ED2378DB9C}"/>
    <cellStyle name="Notas 2 3 2" xfId="3705" xr:uid="{C8F4B776-3670-4A86-B4CD-867B85713357}"/>
    <cellStyle name="Notas 2 3 2 2" xfId="5574" xr:uid="{327299C3-7E9E-45BF-8900-0801C9B22F55}"/>
    <cellStyle name="Notas 2 3 2 2 2" xfId="5575" xr:uid="{B751C9FE-D572-47F6-8A6C-059F2BB8E97B}"/>
    <cellStyle name="Notas 2 3 2 3" xfId="5576" xr:uid="{6960AFE4-A54F-4039-BA3C-DB056D3FC21A}"/>
    <cellStyle name="Notas 2 3 2 3 2" xfId="5577" xr:uid="{22E03A13-E422-40FB-BBD6-49FC4561F7CC}"/>
    <cellStyle name="Notas 2 3 2 4" xfId="5578" xr:uid="{1625740A-F236-4A2B-AAC2-7782DA22B813}"/>
    <cellStyle name="Notas 2 3 2 5" xfId="5579" xr:uid="{1088289E-BF07-4D75-82D2-33DD5C0C2432}"/>
    <cellStyle name="Notas 2 3 2 6" xfId="5580" xr:uid="{4177F0BC-97B3-4E60-A950-E9A85E5C2BAB}"/>
    <cellStyle name="Notas 2 3 2 7" xfId="5581" xr:uid="{83EF31EB-B0CF-47BF-BCD6-13EC7F5CD9DF}"/>
    <cellStyle name="Notas 2 3 3" xfId="3706" xr:uid="{4D08A3C7-6879-411B-AEE1-B5823482CA1E}"/>
    <cellStyle name="Notas 2 3 3 2" xfId="5582" xr:uid="{ADC1F500-7D7F-48B5-862F-C7BC546BA3B2}"/>
    <cellStyle name="Notas 2 3 3 3" xfId="5583" xr:uid="{6AFE98BE-499C-4877-97CE-53413A56229C}"/>
    <cellStyle name="Notas 2 3 3 4" xfId="5584" xr:uid="{C7EE1E0D-C48C-4499-BFDA-EB2E4583D707}"/>
    <cellStyle name="Notas 2 3 3 5" xfId="5585" xr:uid="{B24A66E0-CF29-4967-AD4C-92965E3C8AAE}"/>
    <cellStyle name="Notas 2 3 3 6" xfId="5586" xr:uid="{9FD54CE2-F4FE-40F9-8A64-E7A16D5CAA17}"/>
    <cellStyle name="Notas 2 3 4" xfId="5587" xr:uid="{7A726C1C-6DCB-472E-B826-6C39D1378C72}"/>
    <cellStyle name="Notas 2 3 4 2" xfId="5588" xr:uid="{4D129FBB-5617-4DB3-927A-83F034F485E0}"/>
    <cellStyle name="Notas 2 3 4 3" xfId="5589" xr:uid="{91218AC8-DF87-4AE5-A8A4-6B4B00031338}"/>
    <cellStyle name="Notas 2 3 4 4" xfId="5590" xr:uid="{68678410-06A5-464F-8AA5-A8F728BEB8C0}"/>
    <cellStyle name="Notas 2 3 4 5" xfId="5591" xr:uid="{C35EFC3B-D9F7-4778-BD15-9BC6C7668624}"/>
    <cellStyle name="Notas 2 3 5" xfId="5592" xr:uid="{6007F344-F006-44A5-87C6-5B456ED62080}"/>
    <cellStyle name="Notas 2 3 5 2" xfId="5593" xr:uid="{E620CC09-7EDB-440A-9510-F2459038CA9C}"/>
    <cellStyle name="Notas 2 3 5 3" xfId="5594" xr:uid="{8B0B1F7E-1833-47F3-8CCD-3084883AF3F8}"/>
    <cellStyle name="Notas 2 3 5 4" xfId="5595" xr:uid="{9F1B00E7-2291-48F9-A07D-6F8B6E70A54B}"/>
    <cellStyle name="Notas 2 3 5 5" xfId="5596" xr:uid="{F938BF2E-EEE1-4E81-AC3A-686B01311CEB}"/>
    <cellStyle name="Notas 2 3 6" xfId="5597" xr:uid="{5F8CF9F5-62C2-4C88-981C-FF6F2817994D}"/>
    <cellStyle name="Notas 2 3 6 2" xfId="5598" xr:uid="{9B0F93B9-10CC-47FE-BEEB-A553C83714ED}"/>
    <cellStyle name="Notas 2 3 6 3" xfId="5599" xr:uid="{0D504AD8-317B-4662-ACE3-E4A93AEF319E}"/>
    <cellStyle name="Notas 2 3 6 4" xfId="5600" xr:uid="{5D5AAE18-87F1-45EE-8147-D2AC7DB3030D}"/>
    <cellStyle name="Notas 2 3 6 5" xfId="5601" xr:uid="{ADC71BE4-67C4-4F9B-BD65-8F9708BA8034}"/>
    <cellStyle name="Notas 2 3 7" xfId="5602" xr:uid="{4ADBE06E-C356-409A-97D3-3AE80455F04F}"/>
    <cellStyle name="Notas 2 3 7 2" xfId="5603" xr:uid="{ED9DE42C-16C0-4F84-AFAF-35BC1C180334}"/>
    <cellStyle name="Notas 2 3 7 3" xfId="5604" xr:uid="{9BD8CC2A-192B-4256-8EC2-D71C3454D197}"/>
    <cellStyle name="Notas 2 3 7 4" xfId="5605" xr:uid="{B691C9CB-96C4-4267-8D83-733D52C32E8A}"/>
    <cellStyle name="Notas 2 3 7 5" xfId="5606" xr:uid="{D26E7288-D564-4A78-AEBD-D6204A088B1A}"/>
    <cellStyle name="Notas 2 3 8" xfId="5607" xr:uid="{B7BD34D1-4658-4AEA-A7C9-5A0C505DD035}"/>
    <cellStyle name="Notas 2 4" xfId="3707" xr:uid="{7F4AE60F-9562-4886-A775-08BE49748140}"/>
    <cellStyle name="Notas 2 4 2" xfId="3708" xr:uid="{2FC5A15E-E6AB-4AD3-800A-288A6B28F164}"/>
    <cellStyle name="Notas 2 4 2 2" xfId="5608" xr:uid="{3F48CCAB-9F4A-43E7-A5DA-4662C785AADC}"/>
    <cellStyle name="Notas 2 4 2 2 2" xfId="5609" xr:uid="{C65B2E61-D4F4-44E3-9B8F-13E8613EA6A9}"/>
    <cellStyle name="Notas 2 4 2 3" xfId="5610" xr:uid="{04658AD9-055E-4FEC-8C60-E136674FB174}"/>
    <cellStyle name="Notas 2 4 2 3 2" xfId="5611" xr:uid="{A57E65D4-10FE-4050-A798-D9A88546D161}"/>
    <cellStyle name="Notas 2 4 2 4" xfId="5612" xr:uid="{A8748919-320F-4BB8-BDA4-B1C04458D262}"/>
    <cellStyle name="Notas 2 4 2 5" xfId="5613" xr:uid="{74265F04-0A7C-4918-934E-406F3CDBD2B3}"/>
    <cellStyle name="Notas 2 4 2 6" xfId="5614" xr:uid="{4FB2D537-0DB9-46C3-B4C0-7B844D3E431B}"/>
    <cellStyle name="Notas 2 4 2 7" xfId="5615" xr:uid="{56C594F7-ADCF-440E-ABA4-7F4DDF347F7C}"/>
    <cellStyle name="Notas 2 4 3" xfId="3709" xr:uid="{01F011E6-F32D-44EF-A721-E292572E5DB4}"/>
    <cellStyle name="Notas 2 4 3 2" xfId="5616" xr:uid="{44272835-7C84-43E3-818C-03676371C09E}"/>
    <cellStyle name="Notas 2 4 3 3" xfId="5617" xr:uid="{AD285BF5-EC4E-40A8-A567-5EC9DFBD5CBA}"/>
    <cellStyle name="Notas 2 4 3 4" xfId="5618" xr:uid="{2A3EDCF1-BBAC-4A43-87A3-5150747A7DE3}"/>
    <cellStyle name="Notas 2 4 3 5" xfId="5619" xr:uid="{CB00318C-8691-4F35-8CAA-D03AFFF2FF53}"/>
    <cellStyle name="Notas 2 4 3 6" xfId="5620" xr:uid="{CC3E887D-BC84-4EE2-A623-FB187403B88C}"/>
    <cellStyle name="Notas 2 4 4" xfId="5621" xr:uid="{80AB66A1-8320-4E4A-AD69-920B52335066}"/>
    <cellStyle name="Notas 2 4 4 2" xfId="5622" xr:uid="{AFDAA7D3-01E5-4E90-96D9-137590640683}"/>
    <cellStyle name="Notas 2 4 4 3" xfId="5623" xr:uid="{AEAC8ED8-8C70-409E-B448-400F124617EA}"/>
    <cellStyle name="Notas 2 4 4 4" xfId="5624" xr:uid="{F3C568F5-BD5D-429C-ABA9-52C005D04176}"/>
    <cellStyle name="Notas 2 4 4 5" xfId="5625" xr:uid="{6380B875-2F06-42A6-A41D-F37D14460DFE}"/>
    <cellStyle name="Notas 2 4 5" xfId="5626" xr:uid="{2A5134CD-2454-4D00-BC53-82263FC78217}"/>
    <cellStyle name="Notas 2 4 5 2" xfId="5627" xr:uid="{C3906099-25AB-486B-95A0-CEC6C336E13D}"/>
    <cellStyle name="Notas 2 4 5 3" xfId="5628" xr:uid="{652768E9-6A17-49BE-887C-43BB8A65CD46}"/>
    <cellStyle name="Notas 2 4 5 4" xfId="5629" xr:uid="{04741892-7649-42DD-B73A-C9BCC53A704F}"/>
    <cellStyle name="Notas 2 4 5 5" xfId="5630" xr:uid="{FABAB6DF-91D8-4EF9-BA63-D95DA99A4ECF}"/>
    <cellStyle name="Notas 2 4 6" xfId="5631" xr:uid="{ABB814F9-0529-4DA2-BB65-EAC277B0A79F}"/>
    <cellStyle name="Notas 2 4 6 2" xfId="5632" xr:uid="{67A85170-3681-4D68-9C04-936ECA6D14A7}"/>
    <cellStyle name="Notas 2 4 6 3" xfId="5633" xr:uid="{2C021EEA-446F-4A5E-8394-73DCE1E79F23}"/>
    <cellStyle name="Notas 2 4 6 4" xfId="5634" xr:uid="{7D5973DA-87CA-43E0-BFE8-DD550094A6B6}"/>
    <cellStyle name="Notas 2 4 6 5" xfId="5635" xr:uid="{1937EC0F-4DF3-4009-A392-816FD4873114}"/>
    <cellStyle name="Notas 2 4 7" xfId="5636" xr:uid="{AA1AAF67-8281-4FC4-9045-BC0035A7CACC}"/>
    <cellStyle name="Notas 2 4 7 2" xfId="5637" xr:uid="{507856A7-4A56-46D0-AAC3-D6A8D1BB83CD}"/>
    <cellStyle name="Notas 2 4 7 3" xfId="5638" xr:uid="{2A0D9A78-A6BD-45A7-9043-3AF48DAEC83D}"/>
    <cellStyle name="Notas 2 4 7 4" xfId="5639" xr:uid="{71A8452D-D294-42BE-93D7-652C21A202A9}"/>
    <cellStyle name="Notas 2 4 7 5" xfId="5640" xr:uid="{0D9EED99-ED6E-4BF3-9F8E-971971E1C62F}"/>
    <cellStyle name="Notas 2 4 8" xfId="5641" xr:uid="{3DCA33B9-D3AF-464C-80D2-C7EB6366A5F1}"/>
    <cellStyle name="Notas 2 5" xfId="3710" xr:uid="{44EC8785-8E66-45A2-A66E-027D1F645E53}"/>
    <cellStyle name="Notas 2 5 2" xfId="3711" xr:uid="{0BDD20F9-391D-4121-99ED-3724C55D019E}"/>
    <cellStyle name="Notas 2 5 2 2" xfId="5642" xr:uid="{86F95799-C44F-40C3-90E9-E6FC88AB9427}"/>
    <cellStyle name="Notas 2 5 2 2 2" xfId="5643" xr:uid="{30A332C4-48E2-4791-AC1A-B3E81F1C1975}"/>
    <cellStyle name="Notas 2 5 2 3" xfId="5644" xr:uid="{8B4FFAC1-3124-473F-AFFB-70ED907584A9}"/>
    <cellStyle name="Notas 2 5 2 3 2" xfId="5645" xr:uid="{7F60B4AA-40A5-46C9-B991-6099C99FF40A}"/>
    <cellStyle name="Notas 2 5 2 4" xfId="5646" xr:uid="{CFB25F8A-C01E-4891-AE89-1A61D8009A7E}"/>
    <cellStyle name="Notas 2 5 2 5" xfId="5647" xr:uid="{28EE4342-285A-4F9B-AF37-723D54A1FFDD}"/>
    <cellStyle name="Notas 2 5 2 6" xfId="5648" xr:uid="{0C8C74FF-1C9B-468F-A30D-F32924EAA4D1}"/>
    <cellStyle name="Notas 2 5 3" xfId="3712" xr:uid="{69F18DEE-A01E-48C8-B13C-AA7BD283D337}"/>
    <cellStyle name="Notas 2 5 3 2" xfId="5649" xr:uid="{82327CE4-608E-4DA2-A59F-044FD64D5BB3}"/>
    <cellStyle name="Notas 2 5 3 3" xfId="5650" xr:uid="{9BA94A2B-6CD9-4B17-B2C7-0B6750EC8112}"/>
    <cellStyle name="Notas 2 5 3 4" xfId="5651" xr:uid="{89077F79-3261-40EA-8A9D-E8B8694332A8}"/>
    <cellStyle name="Notas 2 5 3 5" xfId="5652" xr:uid="{0BC1F14B-FC65-49F3-9730-4F6F06B4F279}"/>
    <cellStyle name="Notas 2 5 3 6" xfId="5653" xr:uid="{DA7ACFCB-45DB-48E5-B2DD-42440DCCF972}"/>
    <cellStyle name="Notas 2 5 4" xfId="5654" xr:uid="{45A728E8-AF22-4C0D-824F-D248C38E688C}"/>
    <cellStyle name="Notas 2 5 4 2" xfId="5655" xr:uid="{8FB8A240-0CAC-48FA-8F3F-D37C1B116073}"/>
    <cellStyle name="Notas 2 5 4 3" xfId="5656" xr:uid="{70829D36-6E4E-4076-8766-EFC235FE2121}"/>
    <cellStyle name="Notas 2 5 4 4" xfId="5657" xr:uid="{6EE48228-35B6-45E4-96B5-FDAA85988327}"/>
    <cellStyle name="Notas 2 5 4 5" xfId="5658" xr:uid="{681F37FA-B128-4F95-9C00-CD7EB6A51335}"/>
    <cellStyle name="Notas 2 5 5" xfId="5659" xr:uid="{DF29F10B-1B49-49A7-953F-5683A7BFF001}"/>
    <cellStyle name="Notas 2 5 5 2" xfId="5660" xr:uid="{10E1B813-384F-4F0B-A89B-4D3EDE844ACA}"/>
    <cellStyle name="Notas 2 5 5 3" xfId="5661" xr:uid="{BCF1AA10-E13B-4AA3-8FB2-FC6885D5976D}"/>
    <cellStyle name="Notas 2 5 5 4" xfId="5662" xr:uid="{3F36973E-0C2D-496D-87C3-6D91187974FD}"/>
    <cellStyle name="Notas 2 5 5 5" xfId="5663" xr:uid="{AC441E3E-34C1-4B43-B247-1B75474F5D19}"/>
    <cellStyle name="Notas 2 5 6" xfId="5664" xr:uid="{C7DED69D-1412-4B33-98AE-F92671DA50F5}"/>
    <cellStyle name="Notas 2 5 6 2" xfId="5665" xr:uid="{F3D6384E-75A5-4030-9CDD-FAB93E94CF14}"/>
    <cellStyle name="Notas 2 5 6 3" xfId="5666" xr:uid="{550C5AED-3D57-4E27-B1A8-6182EF169B77}"/>
    <cellStyle name="Notas 2 5 6 4" xfId="5667" xr:uid="{86FFEE78-DE10-4D47-AA6A-EE84E2E30468}"/>
    <cellStyle name="Notas 2 5 6 5" xfId="5668" xr:uid="{9E2181C1-FE96-41F4-9DDD-6F00C64E2B7D}"/>
    <cellStyle name="Notas 2 5 7" xfId="5669" xr:uid="{3441FFC8-37F1-45F3-9A7D-0E1E4CB69A8D}"/>
    <cellStyle name="Notas 2 5 7 2" xfId="5670" xr:uid="{0BD87F0A-F879-4F66-96A5-34263654F44D}"/>
    <cellStyle name="Notas 2 5 7 3" xfId="5671" xr:uid="{998EBF3A-0C26-4A82-BDA6-9CA9F1AA607E}"/>
    <cellStyle name="Notas 2 5 7 4" xfId="5672" xr:uid="{226AD2FD-6A34-416E-8F2F-158901203CBA}"/>
    <cellStyle name="Notas 2 5 7 5" xfId="5673" xr:uid="{92BCB9A5-22E6-42E9-B7FA-4B1CA5B7455B}"/>
    <cellStyle name="Notas 2 6" xfId="3713" xr:uid="{9B157E74-E527-4789-966E-FEBC904DD820}"/>
    <cellStyle name="Notas 2 6 2" xfId="3714" xr:uid="{EB7F14A6-056C-4EF5-9B76-7007BC5F2165}"/>
    <cellStyle name="Notas 2 6 2 2" xfId="5674" xr:uid="{863BBE7D-6152-4216-853C-AD285A13524C}"/>
    <cellStyle name="Notas 2 6 2 2 2" xfId="5675" xr:uid="{F2A5F089-6D9C-460C-8FC2-324BD7770CAF}"/>
    <cellStyle name="Notas 2 6 2 3" xfId="5676" xr:uid="{02126D07-A938-4A83-A43C-F6B36B61C434}"/>
    <cellStyle name="Notas 2 6 2 3 2" xfId="5677" xr:uid="{9AE0A1EC-5BF3-473C-B403-B98D5ACCF71E}"/>
    <cellStyle name="Notas 2 6 2 4" xfId="5678" xr:uid="{3F199C78-22ED-4C1F-8AB7-66C7DF42236D}"/>
    <cellStyle name="Notas 2 6 2 5" xfId="5679" xr:uid="{AACC8CDA-9E6C-4570-B4AA-4E1E2E4B225E}"/>
    <cellStyle name="Notas 2 6 2 6" xfId="5680" xr:uid="{1DCD68D0-9C6D-42F3-A9D2-9A28EE4E56DA}"/>
    <cellStyle name="Notas 2 6 3" xfId="3715" xr:uid="{EF9484D7-FB5A-4237-B2B9-899A1F95C2FF}"/>
    <cellStyle name="Notas 2 6 3 2" xfId="5681" xr:uid="{FC47F28A-4489-4F06-9C5A-B9807E4F5AB7}"/>
    <cellStyle name="Notas 2 6 3 3" xfId="5682" xr:uid="{B74FF0A5-3C24-453F-8284-B7A69AC48A89}"/>
    <cellStyle name="Notas 2 6 3 4" xfId="5683" xr:uid="{8A78C6B4-6C55-4D76-982B-EB70E10729BF}"/>
    <cellStyle name="Notas 2 6 3 5" xfId="5684" xr:uid="{EECFC897-D7A9-4052-AFB3-8368F7984397}"/>
    <cellStyle name="Notas 2 6 3 6" xfId="5685" xr:uid="{6DBED0D3-4248-4619-ABFA-DB143F6E8B1F}"/>
    <cellStyle name="Notas 2 6 4" xfId="5686" xr:uid="{C7547B3B-CD16-480F-8759-72EC20C02072}"/>
    <cellStyle name="Notas 2 6 4 2" xfId="5687" xr:uid="{525BEF93-AD63-4527-9E4B-8481AC2E95CF}"/>
    <cellStyle name="Notas 2 6 4 3" xfId="5688" xr:uid="{13EF24DF-BC26-4B37-A1FD-77E8C0CCC39D}"/>
    <cellStyle name="Notas 2 6 4 4" xfId="5689" xr:uid="{94669CA4-ADB6-43BD-8417-B446417927C3}"/>
    <cellStyle name="Notas 2 6 4 5" xfId="5690" xr:uid="{37C9C1D2-BBE3-4784-B9AD-45CC4F42E1D5}"/>
    <cellStyle name="Notas 2 6 5" xfId="5691" xr:uid="{C7232D6C-400D-42D4-A81E-BD043F2AF9F2}"/>
    <cellStyle name="Notas 2 6 5 2" xfId="5692" xr:uid="{105837B4-5122-4D60-8CBA-DF02100A0511}"/>
    <cellStyle name="Notas 2 6 5 3" xfId="5693" xr:uid="{F0FE2BCC-F29D-4277-AA81-302373970109}"/>
    <cellStyle name="Notas 2 6 5 4" xfId="5694" xr:uid="{C1A77831-F83C-4460-92DA-731D32084015}"/>
    <cellStyle name="Notas 2 6 5 5" xfId="5695" xr:uid="{248ECC24-B549-41C1-A14D-E0F861F457C6}"/>
    <cellStyle name="Notas 2 6 6" xfId="5696" xr:uid="{09ACA1EB-A6D3-495C-9BE8-EEF3AB803B9B}"/>
    <cellStyle name="Notas 2 6 6 2" xfId="5697" xr:uid="{26C81D0D-53F3-408E-8401-B75AAFEE6DC8}"/>
    <cellStyle name="Notas 2 6 6 3" xfId="5698" xr:uid="{67DDB5E0-7DCF-437B-92E6-3C568C114783}"/>
    <cellStyle name="Notas 2 6 6 4" xfId="5699" xr:uid="{777828FD-0B7E-43E7-ABE8-58566293BD45}"/>
    <cellStyle name="Notas 2 6 6 5" xfId="5700" xr:uid="{DE3BB155-2DDA-4639-A266-EC182779DDC5}"/>
    <cellStyle name="Notas 2 6 7" xfId="5701" xr:uid="{61081D34-FE68-4A7B-AA45-1B6D97426EEC}"/>
    <cellStyle name="Notas 2 6 7 2" xfId="5702" xr:uid="{5029D6E7-9246-48B4-9A12-2762AB628A87}"/>
    <cellStyle name="Notas 2 6 7 3" xfId="5703" xr:uid="{08B71F2F-1030-4AF0-AC65-A2E93446A5EA}"/>
    <cellStyle name="Notas 2 6 7 4" xfId="5704" xr:uid="{2FEB3923-B948-4E30-8A78-26618A95C2AF}"/>
    <cellStyle name="Notas 2 6 7 5" xfId="5705" xr:uid="{2073AC6C-7EA3-4EF7-B50E-E52DE3E7BDB3}"/>
    <cellStyle name="Notas 2 7" xfId="3716" xr:uid="{74616D8B-537D-42E0-B03C-ADD7A2177F1D}"/>
    <cellStyle name="Notas 2 7 2" xfId="3717" xr:uid="{8059CED0-A2A6-4485-A718-1FCBA89E3780}"/>
    <cellStyle name="Notas 2 7 2 2" xfId="5706" xr:uid="{C85551AC-880B-4CB4-B4EF-B17F3075C8B9}"/>
    <cellStyle name="Notas 2 7 2 2 2" xfId="5707" xr:uid="{BC74D82D-FF1A-4367-B8ED-8CEC8C0D4E51}"/>
    <cellStyle name="Notas 2 7 2 3" xfId="5708" xr:uid="{37C7CCAD-6AF3-4B10-A1A7-6FFCAD0D9A0D}"/>
    <cellStyle name="Notas 2 7 2 3 2" xfId="5709" xr:uid="{4DC43B51-37C1-48DD-94AC-EC2C33E35CE4}"/>
    <cellStyle name="Notas 2 7 2 4" xfId="5710" xr:uid="{4B24CF88-2B97-4234-AD75-F393DB14562F}"/>
    <cellStyle name="Notas 2 7 2 5" xfId="5711" xr:uid="{2C7B89A5-ED7B-4A36-8162-DA6A8486A9A9}"/>
    <cellStyle name="Notas 2 7 2 6" xfId="5712" xr:uid="{C5EB0650-0570-4851-918C-216F524016D0}"/>
    <cellStyle name="Notas 2 7 3" xfId="3718" xr:uid="{CEB64964-40A6-4DB8-89A5-5CEAF2EEFF38}"/>
    <cellStyle name="Notas 2 7 3 2" xfId="5713" xr:uid="{DDF083E1-659D-4540-819C-D46233D08A63}"/>
    <cellStyle name="Notas 2 7 3 3" xfId="5714" xr:uid="{D3918E16-F98C-4AD1-9BD1-3B2C9713BE66}"/>
    <cellStyle name="Notas 2 7 3 4" xfId="5715" xr:uid="{185117B5-267B-4378-A7FE-17C5EC6DC1AD}"/>
    <cellStyle name="Notas 2 7 3 5" xfId="5716" xr:uid="{C611752E-FE1C-41DC-9699-A1B0629D02CB}"/>
    <cellStyle name="Notas 2 7 3 6" xfId="5717" xr:uid="{3D44E72C-7611-4870-AFD8-826C7EC915E2}"/>
    <cellStyle name="Notas 2 7 4" xfId="5718" xr:uid="{788CE084-5E5E-4BEF-8F09-4A8A74BA1237}"/>
    <cellStyle name="Notas 2 7 4 2" xfId="5719" xr:uid="{D58A5D6C-3966-440A-8427-CF7EED69AA40}"/>
    <cellStyle name="Notas 2 7 4 3" xfId="5720" xr:uid="{CB85C237-FFD1-4AC1-93CB-97A13FD49939}"/>
    <cellStyle name="Notas 2 7 4 4" xfId="5721" xr:uid="{BFD67616-38B9-45A8-9865-8A361C466B9F}"/>
    <cellStyle name="Notas 2 7 4 5" xfId="5722" xr:uid="{3F082DF1-69F4-4A54-B416-75BCD416D177}"/>
    <cellStyle name="Notas 2 7 5" xfId="5723" xr:uid="{0F72E41D-A916-4AC3-9A9B-9ED56FF69361}"/>
    <cellStyle name="Notas 2 7 5 2" xfId="5724" xr:uid="{7D6F8958-E579-421B-AD85-FBFAC5B6A8B5}"/>
    <cellStyle name="Notas 2 7 5 3" xfId="5725" xr:uid="{E8611767-F1D9-4992-BBAE-4769D1BCB8FE}"/>
    <cellStyle name="Notas 2 7 5 4" xfId="5726" xr:uid="{59C7F270-EB8A-42DF-BA87-2859C316BC80}"/>
    <cellStyle name="Notas 2 7 5 5" xfId="5727" xr:uid="{EB596FFA-5822-4887-928F-8085F2C762D1}"/>
    <cellStyle name="Notas 2 7 6" xfId="5728" xr:uid="{E02742B3-FAC5-4686-B79F-A287DBEB88D3}"/>
    <cellStyle name="Notas 2 7 6 2" xfId="5729" xr:uid="{7923C25F-E5D5-4E95-BE75-D572386AD9FC}"/>
    <cellStyle name="Notas 2 7 6 3" xfId="5730" xr:uid="{D2BD5B6E-6DDF-4FEF-BEC3-71E0FB8BD602}"/>
    <cellStyle name="Notas 2 7 6 4" xfId="5731" xr:uid="{594F19EE-6438-42C7-A091-1B9107F6C778}"/>
    <cellStyle name="Notas 2 7 6 5" xfId="5732" xr:uid="{03B8E38E-A539-49F0-84B9-79A23F7795E5}"/>
    <cellStyle name="Notas 2 7 7" xfId="5733" xr:uid="{5758C8D3-AD03-47C2-AB3A-3A16A4331879}"/>
    <cellStyle name="Notas 2 7 7 2" xfId="5734" xr:uid="{97A4BA50-0B4D-4B09-9396-CE8E846F531A}"/>
    <cellStyle name="Notas 2 7 7 3" xfId="5735" xr:uid="{5B2C3E54-08CA-4ACF-A278-6E70E86C7E86}"/>
    <cellStyle name="Notas 2 7 7 4" xfId="5736" xr:uid="{B671BD7E-41EA-4931-B6DD-38EE0EDCCDEC}"/>
    <cellStyle name="Notas 2 7 7 5" xfId="5737" xr:uid="{830F768E-2BE7-4F76-83B7-D752E2126DAF}"/>
    <cellStyle name="Notas 2 8" xfId="3719" xr:uid="{541C1CCF-F0CD-4082-A304-0FC142E00185}"/>
    <cellStyle name="Notas 2 8 2" xfId="3720" xr:uid="{0CB48F27-E193-46E0-B56D-D0819F36AC70}"/>
    <cellStyle name="Notas 2 8 2 2" xfId="5738" xr:uid="{E7F391A2-67D9-4352-AAFE-D1528649314E}"/>
    <cellStyle name="Notas 2 8 2 2 2" xfId="5739" xr:uid="{5B858C2E-2547-493E-8C70-59FB83D69017}"/>
    <cellStyle name="Notas 2 8 2 3" xfId="5740" xr:uid="{8AC3C5C7-C963-4001-85C9-91A139EF883F}"/>
    <cellStyle name="Notas 2 8 2 3 2" xfId="5741" xr:uid="{9C317D06-DB2F-4DB2-ABCF-7B27AE3B4355}"/>
    <cellStyle name="Notas 2 8 2 4" xfId="5742" xr:uid="{AC30CC55-CEAE-4279-9886-88C7FD27D618}"/>
    <cellStyle name="Notas 2 8 2 5" xfId="5743" xr:uid="{D2F79C80-D2C4-4F76-AABC-40CA5713F861}"/>
    <cellStyle name="Notas 2 8 2 6" xfId="5744" xr:uid="{1707DF63-255B-46C1-8E14-AD5403ACCEC6}"/>
    <cellStyle name="Notas 2 8 3" xfId="3721" xr:uid="{872B4BB7-977C-4578-8794-7E5B35C826EB}"/>
    <cellStyle name="Notas 2 8 3 2" xfId="5745" xr:uid="{A3324D5F-59DB-46AD-8869-3F1A9F293B3B}"/>
    <cellStyle name="Notas 2 8 3 3" xfId="5746" xr:uid="{6208692A-4339-4FB2-B0EC-A759417EDADA}"/>
    <cellStyle name="Notas 2 8 3 4" xfId="5747" xr:uid="{94034D10-5843-4CF4-8165-935E631D7B1B}"/>
    <cellStyle name="Notas 2 8 3 5" xfId="5748" xr:uid="{8B2EFD1C-B0D5-4DA8-9410-F082CC91C92A}"/>
    <cellStyle name="Notas 2 8 3 6" xfId="5749" xr:uid="{E32ABA19-4573-4A45-9BEA-3DFA50060C07}"/>
    <cellStyle name="Notas 2 8 4" xfId="5750" xr:uid="{C49699E4-748D-4045-B2BC-39CA9668EA31}"/>
    <cellStyle name="Notas 2 8 4 2" xfId="5751" xr:uid="{4C1799C9-F7D1-48F3-A9B4-666D67A14567}"/>
    <cellStyle name="Notas 2 8 4 3" xfId="5752" xr:uid="{A74BCA55-1F7E-429C-A4F6-0F04D6AA98DC}"/>
    <cellStyle name="Notas 2 8 4 4" xfId="5753" xr:uid="{7E323414-FE53-4F54-89C6-8E418478D1FC}"/>
    <cellStyle name="Notas 2 8 4 5" xfId="5754" xr:uid="{8B7A87BC-3B47-410C-83E3-8184BE97CBE2}"/>
    <cellStyle name="Notas 2 8 5" xfId="5755" xr:uid="{800CBCD0-4E60-4C96-8B81-F4BCF8BBE069}"/>
    <cellStyle name="Notas 2 8 5 2" xfId="5756" xr:uid="{47992843-435A-43E9-A648-A19EDD731191}"/>
    <cellStyle name="Notas 2 8 5 3" xfId="5757" xr:uid="{014875E8-9813-4F27-A375-A8944DB6C712}"/>
    <cellStyle name="Notas 2 8 5 4" xfId="5758" xr:uid="{D9124582-EB03-443D-939B-A0B127C0F4DE}"/>
    <cellStyle name="Notas 2 8 5 5" xfId="5759" xr:uid="{C164469E-F705-4D4E-972C-4557AEB1EBD3}"/>
    <cellStyle name="Notas 2 8 6" xfId="5760" xr:uid="{ABC9853C-89C6-4F48-A19A-8D0910FCD9BE}"/>
    <cellStyle name="Notas 2 8 6 2" xfId="5761" xr:uid="{893E143D-4D71-441C-BE69-CA67E4266553}"/>
    <cellStyle name="Notas 2 8 6 3" xfId="5762" xr:uid="{F0A4229B-99B2-44F5-BDFA-68CC9D460768}"/>
    <cellStyle name="Notas 2 8 6 4" xfId="5763" xr:uid="{F677505A-662B-4158-AB5A-D6676E2CF332}"/>
    <cellStyle name="Notas 2 8 6 5" xfId="5764" xr:uid="{E7FCA460-BB85-4E1F-B5A0-56B42ED9A04F}"/>
    <cellStyle name="Notas 2 8 7" xfId="5765" xr:uid="{7C4F2C13-E8C9-4C1E-9B55-853F899B991A}"/>
    <cellStyle name="Notas 2 8 7 2" xfId="5766" xr:uid="{DE9B9C86-D960-4CF4-9667-695453EB4943}"/>
    <cellStyle name="Notas 2 8 7 3" xfId="5767" xr:uid="{3F1C48D3-46DD-4D36-94E6-95025DE6B019}"/>
    <cellStyle name="Notas 2 8 7 4" xfId="5768" xr:uid="{05675048-DDF8-4B0E-8715-F1B74303A248}"/>
    <cellStyle name="Notas 2 8 7 5" xfId="5769" xr:uid="{9BC78D98-B3AB-4851-B9D4-1ED3A8F2F0B7}"/>
    <cellStyle name="Notas 2 9" xfId="3722" xr:uid="{1B327784-08C7-40FD-8153-42F18304B86A}"/>
    <cellStyle name="Notas 2 9 2" xfId="3723" xr:uid="{91D7BE9E-48CC-48F4-B003-8F6B670CC34D}"/>
    <cellStyle name="Notas 2 9 2 2" xfId="5770" xr:uid="{F5E840E2-7DE1-471D-9335-F695EAF2A11B}"/>
    <cellStyle name="Notas 2 9 2 2 2" xfId="5771" xr:uid="{BDF3A89F-51F6-4183-81B5-290E79739B51}"/>
    <cellStyle name="Notas 2 9 2 3" xfId="5772" xr:uid="{177D0BDC-6D3B-48B5-9DCF-C033ECE7F5E8}"/>
    <cellStyle name="Notas 2 9 2 3 2" xfId="5773" xr:uid="{1D53E6BD-14A4-4E69-A907-1BF5695E66C5}"/>
    <cellStyle name="Notas 2 9 2 4" xfId="5774" xr:uid="{F265B1C2-784C-4AC8-A3A1-25BCF7F18E02}"/>
    <cellStyle name="Notas 2 9 2 5" xfId="5775" xr:uid="{EA095F6E-F0E0-477E-AF66-BDA1636D42A9}"/>
    <cellStyle name="Notas 2 9 2 6" xfId="5776" xr:uid="{76E0B99E-F8C8-4B65-A95E-6C556A93D25F}"/>
    <cellStyle name="Notas 2 9 3" xfId="3724" xr:uid="{C3D3215C-5E23-4D4C-A6E5-F122A0BF5769}"/>
    <cellStyle name="Notas 2 9 3 2" xfId="5777" xr:uid="{163E988F-FFF9-41A8-B829-8E80DA139E85}"/>
    <cellStyle name="Notas 2 9 3 3" xfId="5778" xr:uid="{5951C3A7-D81E-4ABA-9D4E-0C5B1BC8C64F}"/>
    <cellStyle name="Notas 2 9 3 4" xfId="5779" xr:uid="{C1A6C908-D8A3-4B1D-9B86-1FB5C4055DB0}"/>
    <cellStyle name="Notas 2 9 3 5" xfId="5780" xr:uid="{F09AAEA7-D2B6-4A52-AD9B-2F1BB60B4BCF}"/>
    <cellStyle name="Notas 2 9 3 6" xfId="5781" xr:uid="{71068CAB-DDA6-4984-9A1F-421033BA4479}"/>
    <cellStyle name="Notas 2 9 4" xfId="5782" xr:uid="{AF44D433-FA3E-402A-9212-A97B2B04D7E8}"/>
    <cellStyle name="Notas 2 9 4 2" xfId="5783" xr:uid="{060F7165-A134-4DA9-9034-761022F40612}"/>
    <cellStyle name="Notas 2 9 4 3" xfId="5784" xr:uid="{486475C7-B9E4-44B6-85BE-26D80F51589D}"/>
    <cellStyle name="Notas 2 9 4 4" xfId="5785" xr:uid="{FE2C1911-9D17-4E7B-89E5-27B5A1BF0074}"/>
    <cellStyle name="Notas 2 9 4 5" xfId="5786" xr:uid="{6E48F6FB-3E1D-4483-851F-5C98D86A1CB5}"/>
    <cellStyle name="Notas 2 9 5" xfId="5787" xr:uid="{4C390983-3CA8-4696-976B-7CB37E4DEAA7}"/>
    <cellStyle name="Notas 2 9 5 2" xfId="5788" xr:uid="{B33C73AB-502F-47AD-9127-7FC19649EA65}"/>
    <cellStyle name="Notas 2 9 5 3" xfId="5789" xr:uid="{585E5383-0156-433F-8F55-8273169D55E0}"/>
    <cellStyle name="Notas 2 9 5 4" xfId="5790" xr:uid="{FF91BA9D-F186-4ADF-AD71-954F50C1FE62}"/>
    <cellStyle name="Notas 2 9 5 5" xfId="5791" xr:uid="{1D32AE11-0E59-4A1E-AB15-C3E5BD5EEBC5}"/>
    <cellStyle name="Notas 2 9 6" xfId="5792" xr:uid="{3B7CCF5C-40F7-4FD8-A681-160E9F49E4DD}"/>
    <cellStyle name="Notas 2 9 6 2" xfId="5793" xr:uid="{5CC6671C-A3FF-4CE8-B88C-95F5E54ABE19}"/>
    <cellStyle name="Notas 2 9 6 3" xfId="5794" xr:uid="{556A3FB4-6372-4B6E-80B5-B50BE56C66A1}"/>
    <cellStyle name="Notas 2 9 6 4" xfId="5795" xr:uid="{8F4C4F1E-257C-44C5-BFC1-181F041B5CF6}"/>
    <cellStyle name="Notas 2 9 6 5" xfId="5796" xr:uid="{529F3EE9-C6E5-4A48-B336-09B982EC7318}"/>
    <cellStyle name="Notas 2 9 7" xfId="5797" xr:uid="{61E6A153-7D51-4097-9405-D0A4B2DC9C6E}"/>
    <cellStyle name="Notas 2 9 7 2" xfId="5798" xr:uid="{2E0CC3B1-4BB4-46F3-8C05-0C26373D94BD}"/>
    <cellStyle name="Notas 2 9 7 3" xfId="5799" xr:uid="{3A2748B4-1AAD-4A11-B515-ED4276F5F485}"/>
    <cellStyle name="Notas 2 9 7 4" xfId="5800" xr:uid="{1FFB9D06-AF0A-480A-8AB4-E899E7D3F686}"/>
    <cellStyle name="Notas 2 9 7 5" xfId="5801" xr:uid="{0D1A8483-7EA6-41BD-B9B1-93AC409F140F}"/>
    <cellStyle name="Notas 2_Deuda septiembre_marcos" xfId="2137" xr:uid="{167D69B0-65B1-4CA8-ACB9-FFC7291CFE10}"/>
    <cellStyle name="Notas 3" xfId="3442" xr:uid="{C8AFB98F-BA00-4277-B8A6-F0A548C7F0A0}"/>
    <cellStyle name="Notas 3 2" xfId="5802" xr:uid="{11DF3BA4-C306-4D46-BA34-77E9E53837B3}"/>
    <cellStyle name="Notas 3 3" xfId="5803" xr:uid="{77C20E2A-4E29-406A-9792-2A355D31D1F8}"/>
    <cellStyle name="Notas 4" xfId="3443" xr:uid="{618D192C-FE93-4C85-B716-E11ABCDD2A65}"/>
    <cellStyle name="Notas 4 2" xfId="5804" xr:uid="{4B977A9D-E619-4390-B04B-C13094CC1E47}"/>
    <cellStyle name="Notas 4 3" xfId="5805" xr:uid="{BE0DCA6F-F18A-45EF-AB96-8580CB424062}"/>
    <cellStyle name="Notas 5" xfId="3444" xr:uid="{9AB0439B-E9BB-4A29-A37B-674D8FDBB3A4}"/>
    <cellStyle name="Notas 6" xfId="3445" xr:uid="{8B24E612-F12C-463E-AF38-864FDD08DB73}"/>
    <cellStyle name="Notas 7" xfId="3446" xr:uid="{023A78E5-2BB9-486B-9B80-A616CF899D8F}"/>
    <cellStyle name="Notas 8" xfId="3447" xr:uid="{7CF3C856-93F4-4E9E-ADDB-C11D353B3BD7}"/>
    <cellStyle name="Notas 9" xfId="3448" xr:uid="{60A670E3-72BA-4803-9100-AADBAD8E71F5}"/>
    <cellStyle name="Percent" xfId="86" xr:uid="{7D4A3884-F589-4F01-BA03-C3DD8100A91F}"/>
    <cellStyle name="Percent (0)" xfId="2138" xr:uid="{BE47E729-7111-41EC-BEA1-F0847D18721C}"/>
    <cellStyle name="Percent (0) 10" xfId="3449" xr:uid="{06BC845C-F6B1-4CDA-A6C2-B5E58DF8AB17}"/>
    <cellStyle name="Percent (0) 2" xfId="2139" xr:uid="{FF57753C-A5ED-4E6E-995E-8B33A643B9F8}"/>
    <cellStyle name="Percent (0) 2 2" xfId="2140" xr:uid="{B625EE6C-B4F9-4011-A63B-4746E9BA21AC}"/>
    <cellStyle name="Percent (0) 2 2 2" xfId="2141" xr:uid="{07E36E3E-B7C8-402B-9195-E1F89E221618}"/>
    <cellStyle name="Percent (0) 2 2 2 2" xfId="2142" xr:uid="{AE5EF436-B362-4298-95D8-56128671B55A}"/>
    <cellStyle name="Percent (0) 2 2 2 3" xfId="2143" xr:uid="{B184E88B-5AC3-46BA-AC24-FBA4747A5AF6}"/>
    <cellStyle name="Percent (0) 2 2 3" xfId="2144" xr:uid="{0A2EE504-C44F-4167-84C4-CA38D1BFF70C}"/>
    <cellStyle name="Percent (0) 2 2 4" xfId="2145" xr:uid="{DAED28E7-1997-439F-A544-0C07328A426A}"/>
    <cellStyle name="Percent (0) 2 3" xfId="2146" xr:uid="{EDD9E6E2-86E8-4735-80FA-7943D749F41C}"/>
    <cellStyle name="Percent (0) 2 3 2" xfId="2147" xr:uid="{62D543AA-C17E-4FC2-BB35-65C591B70E6C}"/>
    <cellStyle name="Percent (0) 2 3 2 2" xfId="2148" xr:uid="{CA69182A-BA98-4550-A792-F8C02998F069}"/>
    <cellStyle name="Percent (0) 2 3 2 3" xfId="2149" xr:uid="{B2411BCA-3C00-4F22-A986-BB5278E98B70}"/>
    <cellStyle name="Percent (0) 2 3 3" xfId="2150" xr:uid="{3510504D-7619-4B87-90AB-885014569058}"/>
    <cellStyle name="Percent (0) 2 3 4" xfId="2151" xr:uid="{687EAF85-0180-4D70-B938-46A830CA90A4}"/>
    <cellStyle name="Percent (0) 2 4" xfId="2152" xr:uid="{6D626C7B-7B89-47FA-AA45-41700742516C}"/>
    <cellStyle name="Percent (0) 2 4 2" xfId="2153" xr:uid="{BABB20A3-4A06-4101-AFE8-F1551D7CB3E0}"/>
    <cellStyle name="Percent (0) 2 4 2 2" xfId="2154" xr:uid="{04EF1BF5-0C76-47BB-8642-B5F9642B1AE1}"/>
    <cellStyle name="Percent (0) 2 4 2 3" xfId="2155" xr:uid="{0909E35B-F32C-4DF4-BB07-A58D56053B7E}"/>
    <cellStyle name="Percent (0) 2 4 3" xfId="2156" xr:uid="{6B0FA4EF-FCCF-4086-9619-C8B112350D28}"/>
    <cellStyle name="Percent (0) 2 4 4" xfId="2157" xr:uid="{D596E1AD-2A1E-4ACE-8CC4-25CD9C51C6B4}"/>
    <cellStyle name="Percent (0) 2 5" xfId="2158" xr:uid="{89E6FC18-EE79-4A7F-BD90-F471797936AC}"/>
    <cellStyle name="Percent (0) 2 5 2" xfId="2159" xr:uid="{BD65E07A-4E85-4051-8A58-A72E8978E04E}"/>
    <cellStyle name="Percent (0) 2 5 3" xfId="2160" xr:uid="{34F44B64-B79D-4A76-9F96-B835C72F2E9A}"/>
    <cellStyle name="Percent (0) 2 6" xfId="2161" xr:uid="{91F0EDA3-F11B-474B-891A-B8BA5552FFD1}"/>
    <cellStyle name="Percent (0) 2 6 2" xfId="2162" xr:uid="{BF102BE7-20B3-42D1-9446-4684EA386F41}"/>
    <cellStyle name="Percent (0) 2 6 3" xfId="2163" xr:uid="{77DA3849-5A75-47DC-B062-3611294ECC71}"/>
    <cellStyle name="Percent (0) 2 7" xfId="2164" xr:uid="{2252E626-FC93-4436-B573-B260CACE3CCB}"/>
    <cellStyle name="Percent (0) 2 8" xfId="2165" xr:uid="{4AAAE55A-AD8E-40CF-961D-08A4139126C0}"/>
    <cellStyle name="Percent (0) 2_ActiFijos" xfId="2166" xr:uid="{6429025D-95E3-4062-82C4-E0A097A933EF}"/>
    <cellStyle name="Percent (0) 3" xfId="2167" xr:uid="{49BCAADA-5E7F-47CE-9725-B5BA854542D4}"/>
    <cellStyle name="Percent (0) 3 2" xfId="2168" xr:uid="{1C0B8AED-5E64-4C1A-BACC-DA4BF801D310}"/>
    <cellStyle name="Percent (0) 3 2 2" xfId="2169" xr:uid="{E3B651FE-7DA8-4CC0-992F-A4B15851CBC7}"/>
    <cellStyle name="Percent (0) 3 2 2 2" xfId="2170" xr:uid="{55B3F63D-D045-4AB7-B9E6-AAB454885AEE}"/>
    <cellStyle name="Percent (0) 3 2 2 3" xfId="2171" xr:uid="{C6A11243-99BA-4CB7-A46C-326FFAFEB4F9}"/>
    <cellStyle name="Percent (0) 3 2 3" xfId="2172" xr:uid="{06C9ABA3-5636-4131-A6E0-143C1ECF9027}"/>
    <cellStyle name="Percent (0) 3 2 4" xfId="2173" xr:uid="{FCA6F8E6-D376-4195-955B-8490ED5EFCBD}"/>
    <cellStyle name="Percent (0) 3 3" xfId="2174" xr:uid="{F958A9B6-CA7F-4975-9FC4-0893C0204D76}"/>
    <cellStyle name="Percent (0) 3 3 2" xfId="2175" xr:uid="{668C0E43-1948-4C47-8C81-92F586461189}"/>
    <cellStyle name="Percent (0) 3 3 2 2" xfId="2176" xr:uid="{50DE107A-5920-428F-BDDE-95418048C057}"/>
    <cellStyle name="Percent (0) 3 3 2 3" xfId="2177" xr:uid="{43F8FFA8-E7C7-44B8-9AA6-9D6C7D6D4DCB}"/>
    <cellStyle name="Percent (0) 3 3 3" xfId="2178" xr:uid="{C16C4CC2-BB7A-4503-89FB-C83C3F1D1099}"/>
    <cellStyle name="Percent (0) 3 3 4" xfId="2179" xr:uid="{3044F85E-5627-45D7-A7B3-CD85D63F92F2}"/>
    <cellStyle name="Percent (0) 3 4" xfId="2180" xr:uid="{1031854F-DFE9-4387-BE72-2042C91B4C63}"/>
    <cellStyle name="Percent (0) 3 4 2" xfId="2181" xr:uid="{B9AB3388-200B-476C-9BBB-0C01FE4DEE8E}"/>
    <cellStyle name="Percent (0) 3 4 2 2" xfId="2182" xr:uid="{A21E06DF-DC38-4ED0-888B-95008EC1A657}"/>
    <cellStyle name="Percent (0) 3 4 2 3" xfId="2183" xr:uid="{BEA582B4-74E0-45D4-A7B4-81FDB4850CC7}"/>
    <cellStyle name="Percent (0) 3 4 3" xfId="2184" xr:uid="{5A072948-7D77-47B9-AD1C-599633E41860}"/>
    <cellStyle name="Percent (0) 3 4 4" xfId="2185" xr:uid="{01053CDE-30D0-4FC6-9F05-BCCE195A50B4}"/>
    <cellStyle name="Percent (0) 3 5" xfId="2186" xr:uid="{568BBB95-DDBA-481D-B14B-1F401445BC24}"/>
    <cellStyle name="Percent (0) 3 5 2" xfId="2187" xr:uid="{A51D5E31-EBC2-494C-B445-58331BEF890E}"/>
    <cellStyle name="Percent (0) 3 5 3" xfId="2188" xr:uid="{21314494-7176-4FB9-A7D9-43068A222A27}"/>
    <cellStyle name="Percent (0) 3 6" xfId="2189" xr:uid="{88CC0422-D938-4789-870F-39590DA0872A}"/>
    <cellStyle name="Percent (0) 3 6 2" xfId="2190" xr:uid="{400AEE9B-7ACC-4992-A703-B046C536B2B2}"/>
    <cellStyle name="Percent (0) 3 6 3" xfId="2191" xr:uid="{FF086A27-E2C8-4064-9F4A-4B4895AE10CD}"/>
    <cellStyle name="Percent (0) 3 7" xfId="2192" xr:uid="{5DF05534-5C1B-4040-88C0-5A50F0E632BE}"/>
    <cellStyle name="Percent (0) 3 8" xfId="2193" xr:uid="{4FFACE0C-65FF-480E-8B07-98D7AF34DDF6}"/>
    <cellStyle name="Percent (0) 3_ActiFijos" xfId="2194" xr:uid="{903FBC85-7CC2-4CDB-AEFC-C175E4A82599}"/>
    <cellStyle name="Percent (0) 4" xfId="2195" xr:uid="{DDE1E2F1-D20B-489F-97F5-22815AC78820}"/>
    <cellStyle name="Percent (0) 4 2" xfId="2196" xr:uid="{5B81A19C-7A8B-46CB-99FD-CE90E8552BB3}"/>
    <cellStyle name="Percent (0) 4 2 2" xfId="2197" xr:uid="{D56A6027-CF7F-42F4-BD59-6B7702F30354}"/>
    <cellStyle name="Percent (0) 4 2 2 2" xfId="2198" xr:uid="{C46DD540-CACB-4E73-9D11-8E19B1672642}"/>
    <cellStyle name="Percent (0) 4 2 2 3" xfId="2199" xr:uid="{E2B672D1-BD4D-47CD-BB35-B13C27A90157}"/>
    <cellStyle name="Percent (0) 4 2 3" xfId="2200" xr:uid="{3778297F-AEF2-497A-A575-C96012961AEA}"/>
    <cellStyle name="Percent (0) 4 2 4" xfId="2201" xr:uid="{8141CB16-1385-4C0E-B302-695CEAEC264A}"/>
    <cellStyle name="Percent (0) 4 3" xfId="2202" xr:uid="{BC1C741C-3998-473B-BB8D-144F86D2BA11}"/>
    <cellStyle name="Percent (0) 4 3 2" xfId="2203" xr:uid="{866D4761-0D31-442A-98E3-D895C5AED0F4}"/>
    <cellStyle name="Percent (0) 4 3 2 2" xfId="3450" xr:uid="{14D7ACFA-E706-4F65-AE09-ECE440440EA6}"/>
    <cellStyle name="Percent (0) 4 3 2 3" xfId="3451" xr:uid="{998E4A3E-AA24-4869-8B54-C0B4E44A194D}"/>
    <cellStyle name="Percent (0) 4 3 3" xfId="3452" xr:uid="{1BD0BF9E-C7F8-4A05-B768-C791F9C9FFAD}"/>
    <cellStyle name="Percent (0) 4 3 4" xfId="3453" xr:uid="{AF654C9D-87D5-47D9-91B6-734343F21AED}"/>
    <cellStyle name="Percent (0) 4 4" xfId="2204" xr:uid="{6E028011-8BC9-47CF-802B-F1BAD7AF5E88}"/>
    <cellStyle name="Percent (0) 4 4 2" xfId="2205" xr:uid="{4F952EA5-9296-458D-843D-501B9E720DC9}"/>
    <cellStyle name="Percent (0) 4 4 2 2" xfId="3454" xr:uid="{45701A83-907C-4C99-8366-20E9036E7AFD}"/>
    <cellStyle name="Percent (0) 4 4 2 3" xfId="3455" xr:uid="{35C95090-C376-44BA-9A22-D59090409242}"/>
    <cellStyle name="Percent (0) 4 4 3" xfId="3456" xr:uid="{EE08B86A-DCBD-478F-A60C-70049D56E4F0}"/>
    <cellStyle name="Percent (0) 4 4 4" xfId="3457" xr:uid="{E095BFE9-4AC6-4B63-89A8-D0B574E9D673}"/>
    <cellStyle name="Percent (0) 4 5" xfId="2206" xr:uid="{2905F967-44F9-4724-A0C8-12AFF2BDEE74}"/>
    <cellStyle name="Percent (0) 4 5 2" xfId="3458" xr:uid="{91FB9F7D-E7E7-4EE5-9213-2DB406F0EE7C}"/>
    <cellStyle name="Percent (0) 4 5 3" xfId="3459" xr:uid="{E0E27539-46E5-488F-8CCF-B910E00A0257}"/>
    <cellStyle name="Percent (0) 4 6" xfId="2207" xr:uid="{FCAB83F6-E278-4DF4-83E7-0C6502B3E3F3}"/>
    <cellStyle name="Percent (0) 4 6 2" xfId="3460" xr:uid="{B9592CB4-3EA3-43A5-93AE-94B8DFED1105}"/>
    <cellStyle name="Percent (0) 4 6 3" xfId="3461" xr:uid="{483930C9-4CA9-4C8D-BCCF-3482A4ABAE89}"/>
    <cellStyle name="Percent (0) 4 7" xfId="3462" xr:uid="{7CABFC1D-8D6F-4553-83EC-C4BF1C39B76D}"/>
    <cellStyle name="Percent (0) 4 8" xfId="3463" xr:uid="{C131E6FC-D7D4-43DA-A110-5EE068F0F306}"/>
    <cellStyle name="Percent (0) 4_ActiFijos" xfId="2208" xr:uid="{7D26B551-397F-4BF2-926D-C1518EA7B879}"/>
    <cellStyle name="Percent (0) 5" xfId="2209" xr:uid="{0A6B9E16-1F92-40BE-841D-22AAA7304B47}"/>
    <cellStyle name="Percent (0) 5 2" xfId="3464" xr:uid="{90B76285-D3D9-4FB6-976E-C8F427B99054}"/>
    <cellStyle name="Percent (0) 5 3" xfId="3465" xr:uid="{CF895095-2999-4A82-A90B-79698E8CBC7C}"/>
    <cellStyle name="Percent (0) 6" xfId="2210" xr:uid="{E3F347DF-D1B2-4C56-8BDD-896B902387F6}"/>
    <cellStyle name="Percent (0) 6 2" xfId="3466" xr:uid="{6DAF4010-8D96-4DC0-868D-E48A028681E3}"/>
    <cellStyle name="Percent (0) 7" xfId="2211" xr:uid="{F802E34B-A6E7-466C-95D1-EBFDA3BF1024}"/>
    <cellStyle name="Percent (0) 8" xfId="3467" xr:uid="{51CBC375-B835-430D-8F75-1B57D63E9697}"/>
    <cellStyle name="Percent (0) 9" xfId="3468" xr:uid="{E41CF561-3E67-4E7B-BAF1-467597D4FD6D}"/>
    <cellStyle name="Percent (0)_Bases_Generales" xfId="2212" xr:uid="{CC651850-1CCF-4AD3-B0AA-84E8269D7361}"/>
    <cellStyle name="Percent [2]" xfId="2213" xr:uid="{E0703CAF-FB4B-47D4-B637-267FFB8EEB15}"/>
    <cellStyle name="Percent [2] 2" xfId="2214" xr:uid="{D7BEA55B-86DB-4C5E-BB9C-DCDD4983067E}"/>
    <cellStyle name="Percent [2] 2 2" xfId="2215" xr:uid="{C1357A05-60A8-44CC-B389-1105C41D1933}"/>
    <cellStyle name="Percent [2] 2 2 2" xfId="5806" xr:uid="{0A0DE1AA-644F-4AA3-96C5-F8278A1C1A0C}"/>
    <cellStyle name="Percent [2] 2 3" xfId="2216" xr:uid="{6AB7EA14-B705-4D90-AB22-6E7A025CF3A9}"/>
    <cellStyle name="Percent [2] 2 3 2" xfId="5807" xr:uid="{0BE7FD31-B219-43F3-8149-A374C96645DA}"/>
    <cellStyle name="Percent [2] 2 4" xfId="2217" xr:uid="{6C92D313-CDE8-4CE6-A648-9D0FF113798B}"/>
    <cellStyle name="Percent [2] 2 4 2" xfId="5808" xr:uid="{8A374DA9-296E-4FB6-B07E-55AF19615F0C}"/>
    <cellStyle name="Percent [2] 2 5" xfId="2218" xr:uid="{1C2528E0-25F3-4BA3-8299-931A3509D003}"/>
    <cellStyle name="Percent [2] 2 5 2" xfId="5809" xr:uid="{6B690F6E-CFC2-4536-8565-B6C290D3DC84}"/>
    <cellStyle name="Percent [2] 2 6" xfId="2219" xr:uid="{187F2B9C-BB99-482A-B2BB-D4B3BB6DFA21}"/>
    <cellStyle name="Percent [2] 2 6 2" xfId="5810" xr:uid="{0F5A056A-CF5F-4840-BC33-D268AFA8CA31}"/>
    <cellStyle name="Percent [2] 2 7" xfId="3469" xr:uid="{700D036D-A9ED-4726-AFC6-D915C0B2F129}"/>
    <cellStyle name="Percent [2] 2 8" xfId="3470" xr:uid="{828024B1-A8DE-4067-ADE5-AE49DCC0131B}"/>
    <cellStyle name="Percent [2] 3" xfId="2220" xr:uid="{B18B3C4A-1108-4448-B075-4F9696E01FB0}"/>
    <cellStyle name="Percent [2] 3 2" xfId="2221" xr:uid="{4CE38504-FD0F-4497-A89C-BF557659B386}"/>
    <cellStyle name="Percent [2] 3 2 2" xfId="5811" xr:uid="{2B4147AB-39A5-4867-A05F-03FD1F38BFAB}"/>
    <cellStyle name="Percent [2] 3 3" xfId="2222" xr:uid="{BBB8DDE6-72A8-488A-8938-EE6FA8FE636E}"/>
    <cellStyle name="Percent [2] 3 3 2" xfId="5812" xr:uid="{2ACB8869-4019-448A-8676-5722D0390B5E}"/>
    <cellStyle name="Percent [2] 3 4" xfId="2223" xr:uid="{7D8CBA50-8106-4F60-B79C-8C75DCB4E063}"/>
    <cellStyle name="Percent [2] 3 4 2" xfId="5813" xr:uid="{66FEC29A-10D7-4204-883B-E3AE9044444E}"/>
    <cellStyle name="Percent [2] 3 5" xfId="2224" xr:uid="{0EC945EA-2441-41C7-BDF7-7C6611990244}"/>
    <cellStyle name="Percent [2] 3 5 2" xfId="5814" xr:uid="{730845C7-E381-4895-BF31-9225D2AD1E57}"/>
    <cellStyle name="Percent [2] 3 6" xfId="2225" xr:uid="{9FF011D8-F035-448C-9602-DDF280AF73FD}"/>
    <cellStyle name="Percent [2] 3 6 2" xfId="5815" xr:uid="{55D4C8B2-A821-45B6-A963-9B09C544D5F1}"/>
    <cellStyle name="Percent [2] 3 7" xfId="3471" xr:uid="{3996BAA2-52F7-47D5-8E65-D2A5CA6B1B76}"/>
    <cellStyle name="Percent [2] 3 8" xfId="3472" xr:uid="{6C351142-CAF0-4E8D-98F9-376927DD0BD2}"/>
    <cellStyle name="Percent [2] 4" xfId="2226" xr:uid="{5DACC7CD-D4E4-4E37-823C-DA0218431E1A}"/>
    <cellStyle name="Percent [2] 4 2" xfId="2227" xr:uid="{5ED66E0E-E7B0-44AF-88D4-F764F91475B5}"/>
    <cellStyle name="Percent [2] 4 2 2" xfId="5816" xr:uid="{69E3912E-C185-416F-BEE3-BCDE5F202D67}"/>
    <cellStyle name="Percent [2] 4 3" xfId="2228" xr:uid="{92096E92-FE49-4433-9816-30C3770E50E1}"/>
    <cellStyle name="Percent [2] 4 3 2" xfId="5817" xr:uid="{CA0D56C8-4DF5-4B33-B9E3-26A7E8E508F8}"/>
    <cellStyle name="Percent [2] 4 4" xfId="2229" xr:uid="{D5AA0B51-4EB4-4D45-94CF-BF60FCF4AE88}"/>
    <cellStyle name="Percent [2] 4 4 2" xfId="5818" xr:uid="{8DC613E4-E95A-4185-9CA6-B60502F202A0}"/>
    <cellStyle name="Percent [2] 4 5" xfId="2230" xr:uid="{40D4575B-7027-4D45-95FC-FFD64DE5DB4A}"/>
    <cellStyle name="Percent [2] 4 5 2" xfId="5819" xr:uid="{C0AAF18C-201F-495A-BBAA-5DFD3AF29F19}"/>
    <cellStyle name="Percent [2] 4 6" xfId="2231" xr:uid="{63DF74F6-8244-4D4A-9761-B6B4C95804C4}"/>
    <cellStyle name="Percent [2] 4 6 2" xfId="5820" xr:uid="{A5D12FA2-6C72-43F2-99F3-D1F236F2643C}"/>
    <cellStyle name="Percent [2] 4 7" xfId="3473" xr:uid="{D210A78E-ED08-4B3B-A2F3-1FA4868CD08D}"/>
    <cellStyle name="Percent [2] 4 8" xfId="3474" xr:uid="{28A8F856-4483-414C-95DE-DA343334E901}"/>
    <cellStyle name="Percent [2] 5" xfId="5821" xr:uid="{6B77C110-72C7-4CA0-9A60-B3F7C48F097B}"/>
    <cellStyle name="Percent 2" xfId="2232" xr:uid="{0BBFBA2D-C622-4010-99A6-1271E1E1BD73}"/>
    <cellStyle name="Percent 2 2" xfId="2233" xr:uid="{7D408EEF-17A0-442D-AC78-84B498F1444E}"/>
    <cellStyle name="Percent 2 3" xfId="2234" xr:uid="{C30D0702-9E4B-4FAC-A6A5-1ACC6A4E56BF}"/>
    <cellStyle name="Percent 2 4" xfId="2235" xr:uid="{75309A7A-BDD1-4F49-9140-AC4AD87ACAE4}"/>
    <cellStyle name="Percent 2 5" xfId="2236" xr:uid="{055423B6-D78E-4121-B7CA-D3DBE891A007}"/>
    <cellStyle name="Percent 2 6" xfId="2237" xr:uid="{2B759E0F-4133-497C-9DAE-D7FCDA998C22}"/>
    <cellStyle name="Percent 2 7" xfId="3475" xr:uid="{F45B5C77-99DF-4232-9537-1682C7CF14D3}"/>
    <cellStyle name="Percent 2 8" xfId="3476" xr:uid="{089B0124-D705-4377-95A7-94283B923993}"/>
    <cellStyle name="Percent 2_ActiFijos" xfId="2238" xr:uid="{7430B9AF-3A17-48CD-A1FA-428D942E07D7}"/>
    <cellStyle name="Percent 3" xfId="2239" xr:uid="{95DC7020-8A54-4F24-ACAE-B8E2E371DC91}"/>
    <cellStyle name="Percent 3 2" xfId="2240" xr:uid="{F7C8A940-CD4E-4526-BDF1-793DD204C2DB}"/>
    <cellStyle name="Percent 3 3" xfId="2241" xr:uid="{368BC0C2-8BBC-4789-9EFE-CB71DAB3BC59}"/>
    <cellStyle name="Percent 3 4" xfId="2242" xr:uid="{F7B906AF-5F77-4B50-B493-86BB9EF1714C}"/>
    <cellStyle name="Percent 3 5" xfId="2243" xr:uid="{6398D004-4024-4610-85E3-37A5FD28E684}"/>
    <cellStyle name="Percent 3 6" xfId="2244" xr:uid="{83377F53-4899-466E-A13C-02D04029A111}"/>
    <cellStyle name="Percent 3 7" xfId="3477" xr:uid="{16191F12-D15A-4EC3-A7C1-843EF40E1CA3}"/>
    <cellStyle name="Percent 3 8" xfId="3478" xr:uid="{2C0DCDC7-2F35-4B39-9828-C2EFEBE3492A}"/>
    <cellStyle name="Percent 3_ActiFijos" xfId="2245" xr:uid="{595AF77C-BEA7-4C22-98E4-9530186449BE}"/>
    <cellStyle name="Percent 4" xfId="2246" xr:uid="{82768455-03A0-46F0-920E-58AA89F6FBA1}"/>
    <cellStyle name="Percent 4 2" xfId="2247" xr:uid="{C9A45FDD-2457-4437-834E-8D249F9FE924}"/>
    <cellStyle name="Percent 4 3" xfId="2248" xr:uid="{3C6D275F-9285-439D-B68E-5DAB526D722C}"/>
    <cellStyle name="Percent 4 4" xfId="2249" xr:uid="{2930523C-7C1B-4A08-B54D-7F807CF2908D}"/>
    <cellStyle name="Percent 4 5" xfId="2250" xr:uid="{A082A166-5605-480C-B41C-202565B3B6CE}"/>
    <cellStyle name="Percent 4 6" xfId="2251" xr:uid="{85AD9995-72C4-4365-9629-C9BFDFC203AC}"/>
    <cellStyle name="Percent 4 7" xfId="3479" xr:uid="{637A75F6-8CDF-45AB-B171-1F129E482B6D}"/>
    <cellStyle name="Percent 4 8" xfId="3480" xr:uid="{F7C188D2-67E2-4CCE-9614-DD507505BA6A}"/>
    <cellStyle name="Percent 4_ActiFijos" xfId="2252" xr:uid="{0F67C874-8B0B-4690-9D11-FC63289154E6}"/>
    <cellStyle name="Percent(0)" xfId="2253" xr:uid="{1F0F9E17-A31C-48FC-8C51-512DCD276F1B}"/>
    <cellStyle name="Percent(0) 10" xfId="3481" xr:uid="{56F80492-31A4-4095-9432-EDA2F6DEC891}"/>
    <cellStyle name="Percent(0) 2" xfId="2254" xr:uid="{751C9421-E2BD-4312-8A0D-20DF05A1CE40}"/>
    <cellStyle name="Percent(0) 2 2" xfId="2255" xr:uid="{856C9ABE-87ED-4752-8165-AB3D3175CA2B}"/>
    <cellStyle name="Percent(0) 2 2 2" xfId="2256" xr:uid="{D8059775-41A2-4165-815C-328A5D31A44B}"/>
    <cellStyle name="Percent(0) 2 2 2 2" xfId="3482" xr:uid="{3B87677D-D9EE-4118-A87F-6B95D491E6C6}"/>
    <cellStyle name="Percent(0) 2 2 2 3" xfId="3483" xr:uid="{F37071DD-ED0A-4E27-B806-59C8E177E1BE}"/>
    <cellStyle name="Percent(0) 2 2 3" xfId="3484" xr:uid="{E634D69B-496A-4EC2-99FB-21BFCE9FFDA8}"/>
    <cellStyle name="Percent(0) 2 2 4" xfId="3485" xr:uid="{A45D2AE3-AC14-469C-BF6F-9DC0B56FCD1A}"/>
    <cellStyle name="Percent(0) 2 3" xfId="2257" xr:uid="{503D830F-C4D4-4064-86E9-65E31DA8B4EA}"/>
    <cellStyle name="Percent(0) 2 3 2" xfId="2258" xr:uid="{8F9150C3-1D30-4B66-B471-5D45EF666E21}"/>
    <cellStyle name="Percent(0) 2 3 2 2" xfId="3486" xr:uid="{18957BA0-9962-43EB-8223-18EE584CE536}"/>
    <cellStyle name="Percent(0) 2 3 2 3" xfId="3487" xr:uid="{76E602F6-2CB2-4481-9C99-7C660AF90A26}"/>
    <cellStyle name="Percent(0) 2 3 3" xfId="3488" xr:uid="{EDED5EEC-FD35-49FB-9B13-34ED78747514}"/>
    <cellStyle name="Percent(0) 2 3 4" xfId="3489" xr:uid="{290DBA52-8604-49D5-AC0C-8C202AF0FA83}"/>
    <cellStyle name="Percent(0) 2 4" xfId="2259" xr:uid="{BBDE9811-6ABE-495E-9CA0-651002B3842C}"/>
    <cellStyle name="Percent(0) 2 4 2" xfId="2260" xr:uid="{D560F424-441F-4DDC-94AD-F29FF6BDFB80}"/>
    <cellStyle name="Percent(0) 2 4 2 2" xfId="3490" xr:uid="{9CAA92C9-5FF4-4682-BCC1-85FC683A1747}"/>
    <cellStyle name="Percent(0) 2 4 2 3" xfId="3491" xr:uid="{3E2918FD-A4C1-4849-8896-17A926DEB485}"/>
    <cellStyle name="Percent(0) 2 4 3" xfId="3492" xr:uid="{4C3AE6A5-0303-4E71-8593-94362F3AEAD0}"/>
    <cellStyle name="Percent(0) 2 4 4" xfId="3493" xr:uid="{B5D0F764-40EC-4475-88D5-0854FCFEB82F}"/>
    <cellStyle name="Percent(0) 2 5" xfId="2261" xr:uid="{5D31172E-6199-415C-BE5D-F3B36B56A419}"/>
    <cellStyle name="Percent(0) 2 5 2" xfId="3494" xr:uid="{B38B52B4-8545-47F6-9B3A-AE3DD91166A9}"/>
    <cellStyle name="Percent(0) 2 5 3" xfId="3495" xr:uid="{BBC5AC5F-7187-43E9-B7E6-0BF06999BC5C}"/>
    <cellStyle name="Percent(0) 2 6" xfId="2262" xr:uid="{1D8B2F0D-D047-47F0-9C6D-651405FA8379}"/>
    <cellStyle name="Percent(0) 2 6 2" xfId="3496" xr:uid="{4405BDBD-40D3-4161-9E69-067D01C7CBA8}"/>
    <cellStyle name="Percent(0) 2 6 3" xfId="3497" xr:uid="{17685F40-795D-4079-A97F-4C83F7F419B9}"/>
    <cellStyle name="Percent(0) 2 7" xfId="3498" xr:uid="{DD7A022A-4C55-4ED1-842C-EE4E3C1CA401}"/>
    <cellStyle name="Percent(0) 2 8" xfId="3499" xr:uid="{CB359506-EC0A-43BB-BB41-5C7C91FF6A33}"/>
    <cellStyle name="Percent(0) 2_ActiFijos" xfId="2263" xr:uid="{70D93A8C-FC88-4D10-B6B8-309B5884CA71}"/>
    <cellStyle name="Percent(0) 3" xfId="2264" xr:uid="{3CF4295A-26EB-403F-A64A-08DC2BC0C2A0}"/>
    <cellStyle name="Percent(0) 3 2" xfId="2265" xr:uid="{74FF49ED-E183-4E57-9FB1-D5C6B882D7A2}"/>
    <cellStyle name="Percent(0) 3 2 2" xfId="2266" xr:uid="{67E302A5-4776-49F3-8515-B71696D16EFC}"/>
    <cellStyle name="Percent(0) 3 2 2 2" xfId="3500" xr:uid="{48CB2E15-BACD-4604-8371-070C52EA3523}"/>
    <cellStyle name="Percent(0) 3 2 2 3" xfId="3501" xr:uid="{7CC132EA-8658-44A9-BD3B-CBF83B85679C}"/>
    <cellStyle name="Percent(0) 3 2 3" xfId="3502" xr:uid="{467C1F47-3B19-4316-A52F-BCBC67BAE065}"/>
    <cellStyle name="Percent(0) 3 2 4" xfId="3503" xr:uid="{8F404390-A836-4F33-9A99-63B893681764}"/>
    <cellStyle name="Percent(0) 3 3" xfId="2267" xr:uid="{5CD8A647-0DDE-4287-946C-F8089AD3329B}"/>
    <cellStyle name="Percent(0) 3 3 2" xfId="2268" xr:uid="{3ED93D80-504B-4392-8240-8DD75FDAD7E7}"/>
    <cellStyle name="Percent(0) 3 3 2 2" xfId="3504" xr:uid="{699CC901-9BB8-420C-94D9-158219875EC9}"/>
    <cellStyle name="Percent(0) 3 3 2 3" xfId="3505" xr:uid="{A80862F5-A33A-45C8-AA33-4CF112BFCD93}"/>
    <cellStyle name="Percent(0) 3 3 3" xfId="3506" xr:uid="{6F8CCAA0-B576-4766-8066-85AEDF01FBBA}"/>
    <cellStyle name="Percent(0) 3 3 4" xfId="3507" xr:uid="{21C50A43-AF2F-475E-9434-139FF7BEC351}"/>
    <cellStyle name="Percent(0) 3 4" xfId="2269" xr:uid="{23F006AF-BF79-4CDA-8D73-2BDD8AF1FAAF}"/>
    <cellStyle name="Percent(0) 3 4 2" xfId="2270" xr:uid="{63EEEE3C-CB4D-4B01-9A7E-95403CD7AEAD}"/>
    <cellStyle name="Percent(0) 3 4 2 2" xfId="3508" xr:uid="{A4323C0A-0DD9-4592-BA48-FCF6A224E451}"/>
    <cellStyle name="Percent(0) 3 4 2 3" xfId="3509" xr:uid="{46410295-F50C-49C2-8D62-A00725ACBDCA}"/>
    <cellStyle name="Percent(0) 3 4 3" xfId="3510" xr:uid="{B3570469-983D-436D-A1B7-ABCCD5F74D0B}"/>
    <cellStyle name="Percent(0) 3 4 4" xfId="3511" xr:uid="{D917AA70-375B-4BF5-B1FA-D13F0996ACB2}"/>
    <cellStyle name="Percent(0) 3 5" xfId="2271" xr:uid="{F7AAEB4E-AA70-41E1-8487-AE76E9E6E8DA}"/>
    <cellStyle name="Percent(0) 3 5 2" xfId="3512" xr:uid="{48B15B2F-0B5C-48D4-95E4-49967563F4EE}"/>
    <cellStyle name="Percent(0) 3 5 3" xfId="3513" xr:uid="{604988FE-7156-413B-B278-EABDBD9FD8C7}"/>
    <cellStyle name="Percent(0) 3 6" xfId="2272" xr:uid="{D2F125EA-905C-45C5-8EE5-7C118AF6F742}"/>
    <cellStyle name="Percent(0) 3 6 2" xfId="3514" xr:uid="{D080B13F-AD25-476F-8A01-ADC86443FF1A}"/>
    <cellStyle name="Percent(0) 3 6 3" xfId="3515" xr:uid="{BB516CB2-0BFA-44EE-AA7D-3755E623BAF5}"/>
    <cellStyle name="Percent(0) 3 7" xfId="3516" xr:uid="{F07A5912-87A2-4645-8CA1-3568225F3E59}"/>
    <cellStyle name="Percent(0) 3 8" xfId="3517" xr:uid="{BDE16A92-AB23-46C9-9871-2DDC0F284730}"/>
    <cellStyle name="Percent(0) 3_ActiFijos" xfId="2273" xr:uid="{EFB1F9D7-CAA9-4B2E-BE8E-1E570BFE008F}"/>
    <cellStyle name="Percent(0) 4" xfId="2274" xr:uid="{B94898A9-CC69-488D-9306-6AA079920F3E}"/>
    <cellStyle name="Percent(0) 4 2" xfId="2275" xr:uid="{1BF7EEC4-3704-4DCF-B5E2-DEC7530DB399}"/>
    <cellStyle name="Percent(0) 4 2 2" xfId="2276" xr:uid="{69277979-0822-4C35-B40E-90356F40038D}"/>
    <cellStyle name="Percent(0) 4 2 2 2" xfId="3518" xr:uid="{2A026DEF-8A36-4F04-BBA7-397889FA795C}"/>
    <cellStyle name="Percent(0) 4 2 2 3" xfId="3519" xr:uid="{8409EFD7-64C9-4A52-AFE6-18BE52650E9C}"/>
    <cellStyle name="Percent(0) 4 2 3" xfId="3520" xr:uid="{9AC4F0CA-B1FA-49A5-B3A4-F291ACAC6C05}"/>
    <cellStyle name="Percent(0) 4 2 4" xfId="3521" xr:uid="{B1C0E2DB-2B80-4954-9A60-A617FA541AB3}"/>
    <cellStyle name="Percent(0) 4 3" xfId="2277" xr:uid="{297CE394-D35A-45DD-AF9A-37630EBEB2D6}"/>
    <cellStyle name="Percent(0) 4 3 2" xfId="2278" xr:uid="{51A0091F-147C-4D2A-9277-438C1E7FFE0E}"/>
    <cellStyle name="Percent(0) 4 3 2 2" xfId="3522" xr:uid="{CFA77EAA-CCA4-4C90-A4CC-C2C125021109}"/>
    <cellStyle name="Percent(0) 4 3 2 3" xfId="3523" xr:uid="{EB62AA86-820A-4C00-A9F6-1CA4407C923E}"/>
    <cellStyle name="Percent(0) 4 3 3" xfId="3524" xr:uid="{A64ED3E8-1439-473C-91BB-69A93692598C}"/>
    <cellStyle name="Percent(0) 4 3 4" xfId="3525" xr:uid="{D2E309B0-5FAF-42BA-B3DB-AAF6994F0D44}"/>
    <cellStyle name="Percent(0) 4 4" xfId="2279" xr:uid="{4527B43E-23D1-46C0-B2EA-7EFFE8BBF939}"/>
    <cellStyle name="Percent(0) 4 4 2" xfId="2280" xr:uid="{73A3708F-9C59-43C7-94F6-723E0981A324}"/>
    <cellStyle name="Percent(0) 4 4 2 2" xfId="3526" xr:uid="{6611389A-2D23-4802-878B-01AD9F48D212}"/>
    <cellStyle name="Percent(0) 4 4 2 3" xfId="3527" xr:uid="{92CD284D-F8D2-4A13-B673-486C7E3B7258}"/>
    <cellStyle name="Percent(0) 4 4 3" xfId="3528" xr:uid="{472D76B7-34DB-4FEC-B86E-BF72ED04D4E7}"/>
    <cellStyle name="Percent(0) 4 4 4" xfId="3529" xr:uid="{BEC11AC3-5B83-45A6-9171-21AD9BE397E4}"/>
    <cellStyle name="Percent(0) 4 5" xfId="2281" xr:uid="{AB60937A-56E9-4171-B559-E34396867292}"/>
    <cellStyle name="Percent(0) 4 5 2" xfId="3530" xr:uid="{AA926612-AC7F-4F83-B49D-FDA34EBB129B}"/>
    <cellStyle name="Percent(0) 4 5 3" xfId="3531" xr:uid="{5E65A35F-0C95-4C5B-800D-6FD343A1B122}"/>
    <cellStyle name="Percent(0) 4 6" xfId="2282" xr:uid="{53274082-3BB0-4C23-8438-B6B2B03A01E3}"/>
    <cellStyle name="Percent(0) 4 6 2" xfId="3532" xr:uid="{6669EF1A-3371-4890-8591-B8E4C2C620BB}"/>
    <cellStyle name="Percent(0) 4 6 3" xfId="3533" xr:uid="{387A3A57-6515-4101-9106-A695D25EC0D4}"/>
    <cellStyle name="Percent(0) 4 7" xfId="3534" xr:uid="{A4AF3223-89ED-4134-A3C1-56E30EB7FA90}"/>
    <cellStyle name="Percent(0) 4 8" xfId="3535" xr:uid="{6FED520C-FE8E-4646-961F-DA8CF550E462}"/>
    <cellStyle name="Percent(0) 4_ActiFijos" xfId="2283" xr:uid="{94E92943-284C-496F-9553-C855ACC852E8}"/>
    <cellStyle name="Percent(0) 5" xfId="2284" xr:uid="{7A499E63-D38B-4C4E-B59F-03EF8D01AE57}"/>
    <cellStyle name="Percent(0) 5 2" xfId="3536" xr:uid="{A177DAF8-80A3-4669-BDF1-91C1A6CA397A}"/>
    <cellStyle name="Percent(0) 5 3" xfId="3537" xr:uid="{51784868-2C55-487F-A047-B9331CBF2D94}"/>
    <cellStyle name="Percent(0) 6" xfId="2285" xr:uid="{78F4A83B-4981-41E2-B77A-D774207877BB}"/>
    <cellStyle name="Percent(0) 6 2" xfId="3538" xr:uid="{D77591EE-7693-4B05-892A-53A70DABC3E7}"/>
    <cellStyle name="Percent(0) 7" xfId="2286" xr:uid="{50D7E41D-4114-435F-ABED-FF6D22E24409}"/>
    <cellStyle name="Percent(0) 8" xfId="3539" xr:uid="{942B1D1D-9BCF-4647-A4F3-F9666A935971}"/>
    <cellStyle name="Percent(0) 9" xfId="3540" xr:uid="{32AADF2A-C44D-42AE-A4EF-654EBD508C24}"/>
    <cellStyle name="Percent(0)_Bases_Generales" xfId="2287" xr:uid="{9A5D2B20-9648-43D7-9D9C-E777F7855BF7}"/>
    <cellStyle name="Percent_Balanc" xfId="2288" xr:uid="{374FDF73-920D-44E1-8B20-5AF2A28F7922}"/>
    <cellStyle name="Porcentaje" xfId="7877" builtinId="5"/>
    <cellStyle name="Porcentaje 2" xfId="87" xr:uid="{F701C819-CE99-4C87-BF40-3252004E1112}"/>
    <cellStyle name="Porcentaje 2 2" xfId="3727" xr:uid="{D631E4C7-8605-4144-9D5F-870E24A84FF5}"/>
    <cellStyle name="Porcentaje 3" xfId="3728" xr:uid="{91A35E01-BB6E-49A3-993D-F1B03518ACEA}"/>
    <cellStyle name="Porcentaje 4" xfId="66" xr:uid="{121FBA3D-9741-420C-BD3A-A50ABF856F84}"/>
    <cellStyle name="Porcentaje 7" xfId="19" xr:uid="{CEB02BE1-1C10-40EC-97D4-5CC2790D60CA}"/>
    <cellStyle name="Porcentaje 7 4" xfId="7875" xr:uid="{177E81A9-788F-48B0-8EDD-0EEDC8E182D6}"/>
    <cellStyle name="Porcentual 2" xfId="2289" xr:uid="{A03DBABF-76FD-4DBD-B4A8-ABA9C8608F8B}"/>
    <cellStyle name="Porcentual 2 2" xfId="2290" xr:uid="{2E55E8D4-A8AE-4D00-99D8-F5C0C12006A4}"/>
    <cellStyle name="Porcentual 2 2 2" xfId="5822" xr:uid="{3EE0E837-196B-4153-938A-7266E7B28DBD}"/>
    <cellStyle name="Porcentual 2 2 3" xfId="5823" xr:uid="{BB5AC74D-7290-4A79-AB96-AFCC4E343CE4}"/>
    <cellStyle name="Porcentual 2 2 4" xfId="5824" xr:uid="{2F1CBA30-F943-4120-900F-735FF402EE88}"/>
    <cellStyle name="Porcentual 2 2 4 2" xfId="5825" xr:uid="{C96A34D3-4A70-491F-86F6-D9AF57838FEB}"/>
    <cellStyle name="Porcentual 2 2 5" xfId="5826" xr:uid="{33718199-41AB-4A02-A0E4-68BAC5220A12}"/>
    <cellStyle name="Porcentual 2 3" xfId="3725" xr:uid="{E5712A29-265E-432F-86D0-AE54364B2BD8}"/>
    <cellStyle name="Porcentual 2 3 2" xfId="5827" xr:uid="{6E5D771D-4556-4016-952E-878E4C676EFE}"/>
    <cellStyle name="Porcentual 2 3 3" xfId="5828" xr:uid="{E6CA6166-FC8E-4AAE-A883-0C084FE8D1D8}"/>
    <cellStyle name="Porcentual 2 4" xfId="5829" xr:uid="{480CDD55-9BAC-40F2-8916-9F30477BA786}"/>
    <cellStyle name="Porcentual 2 4 2" xfId="5830" xr:uid="{BADC55E1-9F48-4F2B-BA9B-D2B3810CBB44}"/>
    <cellStyle name="Porcentual 2 4 3" xfId="5831" xr:uid="{9B594D35-0C50-40F7-A462-9FB0A3B9D29C}"/>
    <cellStyle name="Porcentual 2 5" xfId="5832" xr:uid="{905F46E1-7978-432A-A9E8-4CCD8C2F6319}"/>
    <cellStyle name="Porcentual 2 6" xfId="5833" xr:uid="{9AB962FC-EA2D-4417-A377-BDA4514828A3}"/>
    <cellStyle name="Porcentual 23" xfId="5834" xr:uid="{773C60AB-8AEA-4FE5-81E6-B1013BA97B97}"/>
    <cellStyle name="Porcentual 23 2" xfId="5835" xr:uid="{514A0683-3908-4E56-BF2D-E01739EBF795}"/>
    <cellStyle name="Porcentual 3" xfId="2291" xr:uid="{4FFBB40C-D0BD-44BD-8FEA-ED689FD0481D}"/>
    <cellStyle name="Porcentual 3 2" xfId="2292" xr:uid="{B8DE9FD0-A54B-4318-B863-540C630D9A98}"/>
    <cellStyle name="Porcentual 3 2 2" xfId="5836" xr:uid="{01F772DD-978A-4A8C-BB41-D01B1B629F81}"/>
    <cellStyle name="Porcentual 3 2 3" xfId="5837" xr:uid="{5E7934C5-8A3E-4221-9749-2C54AE3AE83D}"/>
    <cellStyle name="Porcentual 3 3" xfId="2293" xr:uid="{438717E9-2B90-4540-A349-2BAF0791D51A}"/>
    <cellStyle name="Porcentual 3 3 2" xfId="5838" xr:uid="{AF266B7B-7539-43C9-AFCF-033BC2A25E0A}"/>
    <cellStyle name="Porcentual 3 4" xfId="2294" xr:uid="{0A8A4930-5697-4FD5-8837-0442D105CA3D}"/>
    <cellStyle name="Porcentual 3 4 2" xfId="5839" xr:uid="{DA92AE7E-1FD9-486B-8593-7C5F717D3333}"/>
    <cellStyle name="Porcentual 3 5" xfId="2295" xr:uid="{31DE153D-3AB3-497D-82AA-B47DC7E77769}"/>
    <cellStyle name="Porcentual 3 5 2" xfId="5840" xr:uid="{68ACA1D6-7124-45BB-8255-BF0A482A8D88}"/>
    <cellStyle name="Porcentual 3 6" xfId="2296" xr:uid="{1FBE6493-9EB0-43C9-B68A-90169BB674CB}"/>
    <cellStyle name="Porcentual 3 6 2" xfId="5841" xr:uid="{02A25463-43C2-443C-9440-3150E5CB5FA6}"/>
    <cellStyle name="Porcentual 3 7" xfId="3541" xr:uid="{205F7AC9-E1C5-4DDF-8C9D-9EE24746BE23}"/>
    <cellStyle name="Porcentual 3 8" xfId="3542" xr:uid="{CE003F20-E6BF-47C4-BD71-E1302F92E7CB}"/>
    <cellStyle name="Porcentual 4" xfId="2297" xr:uid="{D3406E12-BB1A-43AF-A261-38D85E7A87B3}"/>
    <cellStyle name="Porcentual 4 2" xfId="5842" xr:uid="{E66C6D3B-571D-49CD-B6FF-278E2AAB7C88}"/>
    <cellStyle name="Porcentual 4 3" xfId="5843" xr:uid="{02E7E118-2C3D-403A-9531-4168D5617858}"/>
    <cellStyle name="Porcentual 5" xfId="2298" xr:uid="{F3E92BCE-0B32-4471-ADBC-6BCF7D75AFEC}"/>
    <cellStyle name="Porcentual 5 2" xfId="5844" xr:uid="{137892C0-5712-48A0-AE2D-FA00B54F6218}"/>
    <cellStyle name="Porcentual 5 3" xfId="5845" xr:uid="{E70A7F59-CC6D-4E1B-AF7C-3550F448DA25}"/>
    <cellStyle name="Porcentual 6" xfId="2299" xr:uid="{F7496601-AC70-4636-8B15-B01856627073}"/>
    <cellStyle name="Porcentual 6 2" xfId="90" xr:uid="{135F2FC3-44B1-4294-8528-05F33961628D}"/>
    <cellStyle name="Porcentual 7" xfId="5846" xr:uid="{A9C3F981-7D96-4ED6-AEE0-2E85BB83AB3C}"/>
    <cellStyle name="Porcentual 7 2" xfId="5847" xr:uid="{49C76B55-6E2A-4B08-9456-B8B4F99D063F}"/>
    <cellStyle name="Porcentual 8" xfId="5848" xr:uid="{A49F4503-69F9-401F-99AF-4008EF99EEE3}"/>
    <cellStyle name="Porcentual 8 2" xfId="5849" xr:uid="{D351D653-FD87-4B5E-A029-AC57D01FB988}"/>
    <cellStyle name="Porcentual 9" xfId="5850" xr:uid="{A10D5C3C-4D45-4826-B6D8-4D437529ECB9}"/>
    <cellStyle name="propio" xfId="2300" xr:uid="{7889E163-509C-4E8E-9CDD-327971C90D85}"/>
    <cellStyle name="propio 10" xfId="3543" xr:uid="{98F7111C-4F6A-48E9-BFA1-477EDA06840C}"/>
    <cellStyle name="propio 2" xfId="2301" xr:uid="{41E64CC4-B537-425C-A9A1-253F5A0C724F}"/>
    <cellStyle name="propio 2 2" xfId="2302" xr:uid="{B6182E7F-756B-4CCB-B7EB-ED088725EB84}"/>
    <cellStyle name="propio 2 3" xfId="2303" xr:uid="{1C47FC01-3718-45CB-9473-2C1C945E4411}"/>
    <cellStyle name="propio 2 4" xfId="2304" xr:uid="{B5E39031-52F8-43EE-90C2-D5C0038EFB04}"/>
    <cellStyle name="propio 2 5" xfId="2305" xr:uid="{8F36C000-7B9C-4A03-8C83-42E575DC1050}"/>
    <cellStyle name="propio 2 6" xfId="2306" xr:uid="{1E7F19F3-2A9A-44E8-8ECF-2A2089977120}"/>
    <cellStyle name="propio 2 7" xfId="3544" xr:uid="{4A462E49-D476-408B-8189-3633751A7318}"/>
    <cellStyle name="propio 2 8" xfId="3545" xr:uid="{A863653B-F793-4A71-B78B-E1750E2AC5B8}"/>
    <cellStyle name="propio 2_ActiFijos" xfId="2307" xr:uid="{CD5FFC51-F612-4491-96E1-F33691C513CE}"/>
    <cellStyle name="propio 3" xfId="2308" xr:uid="{7B2C98FA-E940-4B10-816D-1774629F838E}"/>
    <cellStyle name="propio 3 2" xfId="2309" xr:uid="{D42CBC72-3CE4-4C59-876E-998564781B02}"/>
    <cellStyle name="propio 3 3" xfId="2310" xr:uid="{03E02A69-75A0-4FD1-B574-6EC539D2254F}"/>
    <cellStyle name="propio 3 4" xfId="2311" xr:uid="{BCC3EE18-ED35-45CA-B081-4E049D712533}"/>
    <cellStyle name="propio 3 5" xfId="2312" xr:uid="{0AFEB2DF-3E20-4DA7-A6F5-5F01F0BDB7D6}"/>
    <cellStyle name="propio 3 6" xfId="2313" xr:uid="{14BCBBEF-9367-413C-9E37-D353CC9841FD}"/>
    <cellStyle name="propio 3 7" xfId="3546" xr:uid="{4EB773C2-CA30-4281-80AF-B4EE774499A9}"/>
    <cellStyle name="propio 3 8" xfId="3547" xr:uid="{33ADA7DB-62D9-410D-9854-6AD911B1FCF2}"/>
    <cellStyle name="propio 3_ActiFijos" xfId="2314" xr:uid="{C4061DD7-5455-44E2-A1F4-539456FE6B74}"/>
    <cellStyle name="propio 4" xfId="2315" xr:uid="{7FF3A005-414D-4CFD-BDEA-E41DDB4F7E3B}"/>
    <cellStyle name="propio 4 2" xfId="2316" xr:uid="{EEA09613-2166-498B-953D-906E68A5B911}"/>
    <cellStyle name="propio 4 3" xfId="2317" xr:uid="{00C1E41E-3844-401F-AF7B-77C3F8D63A08}"/>
    <cellStyle name="propio 4 4" xfId="2318" xr:uid="{B119EFF9-FDC0-4319-81D5-10C7157FF950}"/>
    <cellStyle name="propio 4 5" xfId="2319" xr:uid="{02635E74-977E-4FBA-9369-657BA72365A0}"/>
    <cellStyle name="propio 4 6" xfId="2320" xr:uid="{264EC230-E1B8-4D3E-BD17-3B3762227123}"/>
    <cellStyle name="propio 4 7" xfId="3548" xr:uid="{5244A357-0AFB-4A9B-B77D-2D997416ABD3}"/>
    <cellStyle name="propio 4 8" xfId="3549" xr:uid="{6E52919C-9159-41E9-A9A2-E4FE01DA5DD4}"/>
    <cellStyle name="propio 4_ActiFijos" xfId="2321" xr:uid="{8A8622FA-EC2F-4ACA-908B-31F20A0B7E7F}"/>
    <cellStyle name="propio 5" xfId="3550" xr:uid="{8EE372BD-8344-4621-B289-DFEBA4BC99B6}"/>
    <cellStyle name="propio 6" xfId="3551" xr:uid="{4D93B394-FCF1-4988-A89E-2C44A90236ED}"/>
    <cellStyle name="propio 7" xfId="3552" xr:uid="{081E564A-C201-417B-A19B-E7DAABBCC07F}"/>
    <cellStyle name="propio 8" xfId="3553" xr:uid="{66D85A5C-56BF-49F0-BB4B-79BD8AFEA403}"/>
    <cellStyle name="propio 9" xfId="3554" xr:uid="{75612C18-C776-4517-B05C-DED2B2EEB842}"/>
    <cellStyle name="propio_Bases_Generales" xfId="2322" xr:uid="{47BEEAC4-B94E-4E9E-BF19-05FA98CFC0A4}"/>
    <cellStyle name="PSChar" xfId="2323" xr:uid="{5CB0103C-BFA8-47AB-A438-7DF7164E9612}"/>
    <cellStyle name="PSChar 2" xfId="2324" xr:uid="{B2B474B1-8652-424C-B6C8-43509F7DAA10}"/>
    <cellStyle name="PSChar 2 2" xfId="2325" xr:uid="{AE0792E0-7286-4D2C-815F-2E0B6522EABC}"/>
    <cellStyle name="PSChar 2 3" xfId="2326" xr:uid="{143A6EB5-F94F-4A04-A712-DC798E61D34B}"/>
    <cellStyle name="PSChar 2 4" xfId="2327" xr:uid="{974E540E-3EDF-4AC0-846B-F5AB3B5B6885}"/>
    <cellStyle name="PSChar 2 5" xfId="2328" xr:uid="{E3093B53-3F8D-402C-9E40-B7FD802A4E50}"/>
    <cellStyle name="PSChar 2 6" xfId="2329" xr:uid="{A75F5672-6CBF-4048-A903-5F58F4980325}"/>
    <cellStyle name="PSChar 2 7" xfId="3555" xr:uid="{ED83E117-D9AC-47C2-A288-4E400CD414F5}"/>
    <cellStyle name="PSChar 2 8" xfId="3556" xr:uid="{58887226-C646-4DC9-8BF8-E7B601ED5EF6}"/>
    <cellStyle name="PSChar 3" xfId="2330" xr:uid="{D883C953-72D4-4739-AB15-A4AB55D0B94E}"/>
    <cellStyle name="PSChar 3 2" xfId="2331" xr:uid="{5EBBE234-CE85-41E9-BA58-6CB55EF0A6DB}"/>
    <cellStyle name="PSChar 3 3" xfId="2332" xr:uid="{B233A266-8B7A-4AAC-A57B-A7395BF08FF1}"/>
    <cellStyle name="PSChar 3 4" xfId="2333" xr:uid="{C31AD1A0-4BC6-4EF5-8B2A-5967A8DF09AA}"/>
    <cellStyle name="PSChar 3 5" xfId="2334" xr:uid="{E041EC60-8A1F-4A75-ABF8-89A4E4F1238C}"/>
    <cellStyle name="PSChar 3 6" xfId="2335" xr:uid="{AAC5C8C1-0B85-48CD-96E6-F7591C47CCB4}"/>
    <cellStyle name="PSChar 3 7" xfId="3557" xr:uid="{D89B0A77-159A-4CE5-ACEE-8C16CCD234CB}"/>
    <cellStyle name="PSChar 3 8" xfId="3558" xr:uid="{D07B5C45-4009-46F8-99A6-238FB4DEBCC3}"/>
    <cellStyle name="PSChar 4" xfId="2336" xr:uid="{4F571A44-FB60-48B2-A8A4-2644E7EA269A}"/>
    <cellStyle name="PSChar 4 2" xfId="2337" xr:uid="{0DF1EC3D-E7C7-4FD5-B558-983781601FC7}"/>
    <cellStyle name="PSChar 4 3" xfId="2338" xr:uid="{06FC5946-36F9-4477-BD75-57D09C0836BD}"/>
    <cellStyle name="PSChar 4 4" xfId="2339" xr:uid="{51D4D5B0-92C7-4289-A43F-4857454B0820}"/>
    <cellStyle name="PSChar 4 5" xfId="2340" xr:uid="{DFA1FFB2-3FE5-4F87-B7CE-40AC4E030259}"/>
    <cellStyle name="PSChar 4 6" xfId="2341" xr:uid="{230A588C-6A10-4945-9440-2F5E2D4A0F08}"/>
    <cellStyle name="PSChar 4 7" xfId="3559" xr:uid="{F70F99ED-115D-400B-9D16-E5AD88C2B307}"/>
    <cellStyle name="PSChar 4 8" xfId="3560" xr:uid="{30EF9948-8854-4E0F-BB79-5683D3ABAC42}"/>
    <cellStyle name="Punto0" xfId="3561" xr:uid="{D1F56025-77B1-40B4-8161-7F93996F158B}"/>
    <cellStyle name="puntos" xfId="2342" xr:uid="{1DAFA702-82C6-41BA-B53E-3CE0EA29E9E3}"/>
    <cellStyle name="puntos 2" xfId="2343" xr:uid="{E4CFD4BD-ABD6-46B0-A851-53FFC0C77211}"/>
    <cellStyle name="puntos 2 2" xfId="2344" xr:uid="{EE308637-0BCC-43B2-A187-7CD1142DDD54}"/>
    <cellStyle name="puntos 2 2 2" xfId="5851" xr:uid="{1DFFF129-E30D-44E3-9091-14A3DA307E6A}"/>
    <cellStyle name="puntos 2 3" xfId="2345" xr:uid="{4437C0FF-3F4D-4FFB-8D15-716B5DA460BD}"/>
    <cellStyle name="puntos 2 3 2" xfId="5852" xr:uid="{C2EB2530-7F74-4221-AA47-25523523DAF3}"/>
    <cellStyle name="puntos 2 4" xfId="2346" xr:uid="{E7A9064D-5FCB-4026-BA0E-618BAE0BF16F}"/>
    <cellStyle name="puntos 2 4 2" xfId="5853" xr:uid="{DD56519A-30FB-4DFB-9359-9A7FC4FC0A71}"/>
    <cellStyle name="puntos 2 5" xfId="2347" xr:uid="{87A3D3C5-55E3-4F6B-817B-3799E2D73A59}"/>
    <cellStyle name="puntos 2 5 2" xfId="5854" xr:uid="{15B5FD49-0E43-46D0-995E-8EB40D70231E}"/>
    <cellStyle name="puntos 2 6" xfId="2348" xr:uid="{1009DE04-281C-47B7-AACA-5CA89B825FB2}"/>
    <cellStyle name="puntos 2 6 2" xfId="5855" xr:uid="{C3A9070C-06E5-455B-962B-6D305295CC1C}"/>
    <cellStyle name="puntos 2 7" xfId="3562" xr:uid="{28193B81-7FC3-4213-A6A9-F9DB47AFC229}"/>
    <cellStyle name="puntos 2 8" xfId="3563" xr:uid="{B541E7FD-78D3-480C-A62E-9D0F03EDDF83}"/>
    <cellStyle name="puntos 3" xfId="2349" xr:uid="{C8142C95-ADED-4E14-A6E7-7C7B89EFF1AC}"/>
    <cellStyle name="puntos 3 2" xfId="2350" xr:uid="{BC502079-DEA6-40FF-B3D0-CF82BE3BA155}"/>
    <cellStyle name="puntos 3 2 2" xfId="5856" xr:uid="{349B670A-DA6D-49B3-B20D-56466E2DC924}"/>
    <cellStyle name="puntos 3 3" xfId="2351" xr:uid="{6B635478-6112-4D2A-A6CB-F965A1799A62}"/>
    <cellStyle name="puntos 3 3 2" xfId="5857" xr:uid="{471890EF-4091-471D-9A5C-9F72B65BF54F}"/>
    <cellStyle name="puntos 3 4" xfId="2352" xr:uid="{5294E431-E64B-406B-B1C7-22D853036340}"/>
    <cellStyle name="puntos 3 4 2" xfId="5858" xr:uid="{A8C95B7E-D282-47C9-B549-AA7B03E8E946}"/>
    <cellStyle name="puntos 3 5" xfId="2353" xr:uid="{5F204581-9D5B-47D3-8509-B551B141A4D6}"/>
    <cellStyle name="puntos 3 5 2" xfId="5859" xr:uid="{243E5FA8-521D-4765-8F74-8F06F9BCB053}"/>
    <cellStyle name="puntos 3 6" xfId="2354" xr:uid="{3950A5E3-3EF7-4F5E-A0CC-33EEB7F5C6A2}"/>
    <cellStyle name="puntos 3 6 2" xfId="5860" xr:uid="{DAFBDCB0-CAA0-459C-8D9A-E729E3B13BA6}"/>
    <cellStyle name="puntos 3 7" xfId="3564" xr:uid="{308EFAA3-8FB6-4C1F-A8B0-E8EE60B242F1}"/>
    <cellStyle name="puntos 3 8" xfId="3565" xr:uid="{5383EFFC-003E-43CB-9320-1B8AD7D80439}"/>
    <cellStyle name="puntos 4" xfId="2355" xr:uid="{08C4150A-BFCA-432F-AE52-1A846FFC052F}"/>
    <cellStyle name="puntos 4 2" xfId="2356" xr:uid="{2EA566FF-4FF1-416E-9FC6-10A571DC8AFE}"/>
    <cellStyle name="puntos 4 2 2" xfId="5861" xr:uid="{AB03C96D-B820-44CC-9687-DC0154F838CA}"/>
    <cellStyle name="puntos 4 3" xfId="2357" xr:uid="{AB63411B-B807-476B-920E-DBA47FB809D6}"/>
    <cellStyle name="puntos 4 3 2" xfId="5862" xr:uid="{F571B4A3-D7A3-42C1-8141-6719A1F0F045}"/>
    <cellStyle name="puntos 4 4" xfId="2358" xr:uid="{87F3FCE6-6F75-4DDB-B91D-730E9DB41693}"/>
    <cellStyle name="puntos 4 4 2" xfId="5863" xr:uid="{07C0DDD3-47BB-4B21-9AD9-130E6CFF5154}"/>
    <cellStyle name="puntos 4 5" xfId="2359" xr:uid="{8522AA13-D915-469D-B92B-75C273DC5DE9}"/>
    <cellStyle name="puntos 4 5 2" xfId="5864" xr:uid="{5A2AEC6C-666E-405B-AB51-3DB367AEFD9B}"/>
    <cellStyle name="puntos 4 6" xfId="2360" xr:uid="{56561755-3CED-4E0B-960B-E3DE4BE2570F}"/>
    <cellStyle name="puntos 4 6 2" xfId="5865" xr:uid="{D1A16795-362F-467E-A15D-0AE23670FF6F}"/>
    <cellStyle name="puntos 4 7" xfId="3566" xr:uid="{458EEB42-D39B-4FDC-9A42-CAAD92E86BD6}"/>
    <cellStyle name="puntos 4 8" xfId="3567" xr:uid="{66B34048-D28E-4A09-9ECD-AD93BA86FF5D}"/>
    <cellStyle name="puntos 5" xfId="5866" xr:uid="{CD2CECFF-E8A5-4937-9D5C-BAA8B97F416A}"/>
    <cellStyle name="Resaltar" xfId="2361" xr:uid="{4D1D295E-F068-427D-8012-CF270082F941}"/>
    <cellStyle name="Resaltar 10" xfId="3568" xr:uid="{A60CCCB8-7E78-4FA3-9245-B217688B542F}"/>
    <cellStyle name="Resaltar 2" xfId="2362" xr:uid="{64E35F02-D739-4AF9-95C6-20A44D19C53A}"/>
    <cellStyle name="Resaltar 2 2" xfId="2363" xr:uid="{35BDF33C-52A3-474A-B920-50009554C71A}"/>
    <cellStyle name="Resaltar 2 3" xfId="2364" xr:uid="{23FC913E-7B80-49CA-B39F-B2415254824F}"/>
    <cellStyle name="Resaltar 2 4" xfId="2365" xr:uid="{AAC1907D-ECEE-4C2E-A9DB-29496E6A5DEE}"/>
    <cellStyle name="Resaltar 2 5" xfId="2366" xr:uid="{A5D02843-F836-4AEB-B07C-C2A0827DFD17}"/>
    <cellStyle name="Resaltar 2 6" xfId="2367" xr:uid="{477FADFC-8BE4-44F4-99F9-0E95E6DDB312}"/>
    <cellStyle name="Resaltar 2 7" xfId="3569" xr:uid="{AB22DCE6-FDE6-42A6-9350-026D5C106348}"/>
    <cellStyle name="Resaltar 2 8" xfId="3570" xr:uid="{978D7ECA-6A77-4643-BBB5-D7380B59E7C7}"/>
    <cellStyle name="Resaltar 2_ActiFijos" xfId="2368" xr:uid="{C907E378-15D5-4038-B44B-0E66BEAD65B5}"/>
    <cellStyle name="Resaltar 3" xfId="2369" xr:uid="{386DCAE3-167A-4341-8E8E-356BAB8B7D2C}"/>
    <cellStyle name="Resaltar 3 2" xfId="2370" xr:uid="{12161577-3147-4821-9001-8C48B7E9CCC8}"/>
    <cellStyle name="Resaltar 3 3" xfId="2371" xr:uid="{70FF3EC8-AC2E-4AC5-871A-160D0E621130}"/>
    <cellStyle name="Resaltar 3 4" xfId="2372" xr:uid="{8BC5E59B-5235-4579-935D-55894BD8FF5F}"/>
    <cellStyle name="Resaltar 3 5" xfId="2373" xr:uid="{6A2F7C1C-29F4-4A1A-99BD-A374ACD70A60}"/>
    <cellStyle name="Resaltar 3 6" xfId="2374" xr:uid="{7DCBFC02-2D99-409D-80A2-B722D255F9F0}"/>
    <cellStyle name="Resaltar 3 7" xfId="3571" xr:uid="{6D89A8B9-172F-443E-B164-1DB4F9154994}"/>
    <cellStyle name="Resaltar 3 8" xfId="3572" xr:uid="{BF16764D-80DF-4A0E-8113-EFD2EA18084D}"/>
    <cellStyle name="Resaltar 3_ActiFijos" xfId="2375" xr:uid="{BFE7510B-67F1-4CBB-B30B-0E8AB964C67D}"/>
    <cellStyle name="Resaltar 4" xfId="2376" xr:uid="{C4F081CB-D624-455C-BE39-9ED145953C89}"/>
    <cellStyle name="Resaltar 4 2" xfId="2377" xr:uid="{2BB75557-9F9D-4CF9-B750-EFC526C8FA5D}"/>
    <cellStyle name="Resaltar 4 3" xfId="2378" xr:uid="{76872838-CB0B-402B-8477-39CC1F79AC8E}"/>
    <cellStyle name="Resaltar 4 4" xfId="2379" xr:uid="{6C44CC00-1571-4B2B-B744-CBD3EF4C7ABB}"/>
    <cellStyle name="Resaltar 4 5" xfId="2380" xr:uid="{CC48E062-79C6-4DC2-A940-5FB33E2BB165}"/>
    <cellStyle name="Resaltar 4 6" xfId="2381" xr:uid="{CBFAE1C3-2816-487E-B713-F9BB28C2FD9C}"/>
    <cellStyle name="Resaltar 4 7" xfId="3573" xr:uid="{E6E35B0D-8D7F-471C-9FA4-30FAEF565522}"/>
    <cellStyle name="Resaltar 4 8" xfId="3574" xr:uid="{5655417B-C040-4000-A606-7409CC7E5812}"/>
    <cellStyle name="Resaltar 4_ActiFijos" xfId="2382" xr:uid="{5D16846F-0C38-4E29-B598-976292B53FE8}"/>
    <cellStyle name="Resaltar 5" xfId="3575" xr:uid="{31C80A1B-ABE6-4468-AE1F-46D1BE3C26B1}"/>
    <cellStyle name="Resaltar 6" xfId="3576" xr:uid="{438AE700-9866-46F8-9E76-103F5D106107}"/>
    <cellStyle name="Resaltar 7" xfId="3577" xr:uid="{29B625EE-F713-46EB-8DB7-B3F34BD792ED}"/>
    <cellStyle name="Resaltar 8" xfId="3578" xr:uid="{C54C5AED-AFB6-4148-857E-22B0C3F10409}"/>
    <cellStyle name="Resaltar 9" xfId="3579" xr:uid="{38906D3F-8B4E-4F2F-AF8D-CF36F2BD0850}"/>
    <cellStyle name="Resaltar_Bases_Generales" xfId="2383" xr:uid="{F5BDC74E-75B8-42A4-820A-C083EE1B9182}"/>
    <cellStyle name="Resaltar1" xfId="2384" xr:uid="{BC628F74-6D30-4146-8D19-95FA95EB5B34}"/>
    <cellStyle name="Resaltar1 10" xfId="3580" xr:uid="{4C87E1C2-D2A4-479F-B076-9CFEA21CECF4}"/>
    <cellStyle name="Resaltar1 2" xfId="2385" xr:uid="{0602FE5B-6EE8-458B-B305-CBE104DA151C}"/>
    <cellStyle name="Resaltar1 2 2" xfId="2386" xr:uid="{6480EBB7-4BB0-4DEB-828A-FAB962A9A131}"/>
    <cellStyle name="Resaltar1 2 3" xfId="2387" xr:uid="{E67BAA1E-BD3F-4700-8667-7C5E4318EEDE}"/>
    <cellStyle name="Resaltar1 2 4" xfId="2388" xr:uid="{8D5C0E14-3335-44E5-A1A3-E97B9092B8C6}"/>
    <cellStyle name="Resaltar1 2 5" xfId="2389" xr:uid="{3EFF98DE-4544-46BE-A732-569ED5C7F713}"/>
    <cellStyle name="Resaltar1 2 6" xfId="2390" xr:uid="{6D01858A-C78C-4473-8912-9B75537E282E}"/>
    <cellStyle name="Resaltar1 2 7" xfId="3581" xr:uid="{A1F724C1-D868-4C31-B40D-A422EEDD1317}"/>
    <cellStyle name="Resaltar1 2 8" xfId="3582" xr:uid="{B7616B01-E9BC-44B7-A8FB-2B457D6D350E}"/>
    <cellStyle name="Resaltar1 2_ActiFijos" xfId="2391" xr:uid="{8D61367A-99D6-491A-9E35-577E721FABC3}"/>
    <cellStyle name="Resaltar1 3" xfId="2392" xr:uid="{574031CC-D300-4ED5-BBD8-4DB635C9AE67}"/>
    <cellStyle name="Resaltar1 3 2" xfId="2393" xr:uid="{3C5289D3-390F-4075-A2B9-0864715B37E7}"/>
    <cellStyle name="Resaltar1 3 3" xfId="2394" xr:uid="{5215DDCF-0DA9-4F31-9C99-970046A0F45E}"/>
    <cellStyle name="Resaltar1 3 4" xfId="2395" xr:uid="{A69B8BBE-6545-479C-9BC6-5B2ADE57EFAD}"/>
    <cellStyle name="Resaltar1 3 5" xfId="2396" xr:uid="{AECE6EC7-C28A-49F7-8683-3662E1DDD052}"/>
    <cellStyle name="Resaltar1 3 6" xfId="2397" xr:uid="{222B8273-1041-447C-9ED1-0DAFB376B461}"/>
    <cellStyle name="Resaltar1 3 7" xfId="3583" xr:uid="{D76372C6-5FE4-4186-8687-C62DF5A79C9A}"/>
    <cellStyle name="Resaltar1 3 8" xfId="3584" xr:uid="{795CD231-7A28-4363-8CE3-B029A6C9920F}"/>
    <cellStyle name="Resaltar1 3_ActiFijos" xfId="2398" xr:uid="{1C835E77-74CF-446E-88DC-6E17A966426D}"/>
    <cellStyle name="Resaltar1 4" xfId="2399" xr:uid="{CD34A967-F4DA-4A83-BDEC-64A6605FFE6F}"/>
    <cellStyle name="Resaltar1 4 2" xfId="2400" xr:uid="{D0126EF8-0561-4B8D-B138-2CC9C6195350}"/>
    <cellStyle name="Resaltar1 4 3" xfId="2401" xr:uid="{F4059B33-B225-40CB-BC28-81DE48605AD9}"/>
    <cellStyle name="Resaltar1 4 4" xfId="2402" xr:uid="{2607BCF4-9030-4B7D-95EE-0D2AE3ADDB3D}"/>
    <cellStyle name="Resaltar1 4 5" xfId="2403" xr:uid="{86A7EA53-C7A4-4599-BF02-054FF2B4F422}"/>
    <cellStyle name="Resaltar1 4 6" xfId="2404" xr:uid="{1557969A-34C0-4E93-9905-102FEA008DCD}"/>
    <cellStyle name="Resaltar1 4 7" xfId="3585" xr:uid="{FB5D9F4A-E4DD-4FF7-89CF-329CF3818CFB}"/>
    <cellStyle name="Resaltar1 4 8" xfId="3586" xr:uid="{7B46843E-C4DB-4BCE-BDD4-5203DFE4BEA6}"/>
    <cellStyle name="Resaltar1 4_ActiFijos" xfId="2405" xr:uid="{443561C5-6934-41C4-AEBA-0A9D28DD18F1}"/>
    <cellStyle name="Resaltar1 5" xfId="3587" xr:uid="{08309168-5C06-4AE0-BE92-010E46C14565}"/>
    <cellStyle name="Resaltar1 6" xfId="3588" xr:uid="{BF33627B-9F94-4202-81A2-7E9075A23F5A}"/>
    <cellStyle name="Resaltar1 7" xfId="3589" xr:uid="{2B98BF12-D666-4DC3-8015-0AFA525AEC99}"/>
    <cellStyle name="Resaltar1 8" xfId="3590" xr:uid="{7E6C2847-F9F7-4160-A5EC-C12D2D9D1FF1}"/>
    <cellStyle name="Resaltar1 9" xfId="3591" xr:uid="{7C911FB3-2447-42FE-A04C-CF672B189AE8}"/>
    <cellStyle name="Resaltar1_Bases_Generales" xfId="2406" xr:uid="{FC2CDB8F-816F-4B09-8B87-787593EDAD18}"/>
    <cellStyle name="RISKbigPercent" xfId="2407" xr:uid="{3E352332-1FBC-4B8D-AFFE-4E293E49AA9D}"/>
    <cellStyle name="RISKbigPercent 2" xfId="2408" xr:uid="{A25121DC-A3DB-405C-B009-C4ED6DA11013}"/>
    <cellStyle name="RISKbigPercent 2 2" xfId="2409" xr:uid="{E054FE4E-15EE-46A7-84F3-B2EF85ABF2B5}"/>
    <cellStyle name="RISKbigPercent 2 2 2" xfId="5867" xr:uid="{41F88086-19D5-4CEF-89C1-5C04248B0190}"/>
    <cellStyle name="RISKbigPercent 2 3" xfId="2410" xr:uid="{8B8857FF-9F2E-4FDF-A69A-DB68BA6FD634}"/>
    <cellStyle name="RISKbigPercent 2 3 2" xfId="5868" xr:uid="{3EE07E3D-8983-4802-867A-AAC8838933B9}"/>
    <cellStyle name="RISKbigPercent 2 4" xfId="2411" xr:uid="{23A572ED-1E3E-4F8F-A9F1-58A8023E137C}"/>
    <cellStyle name="RISKbigPercent 2 4 2" xfId="5869" xr:uid="{441A7ED3-A9C7-4D22-9E14-1261FABF249E}"/>
    <cellStyle name="RISKbigPercent 2 5" xfId="2412" xr:uid="{3BE4BB2A-5A78-4372-B96D-36C6843B18C5}"/>
    <cellStyle name="RISKbigPercent 2 5 2" xfId="5870" xr:uid="{C330365A-65D9-4E9E-BE95-AABC0983F3E5}"/>
    <cellStyle name="RISKbigPercent 2 6" xfId="2413" xr:uid="{F997C100-F876-4AFF-9AB1-5259A401A32C}"/>
    <cellStyle name="RISKbigPercent 2 6 2" xfId="5871" xr:uid="{74139DC6-6227-4498-9E2F-2B610671F22B}"/>
    <cellStyle name="RISKbigPercent 2 7" xfId="3592" xr:uid="{AA4D0D5B-9D47-4D02-B373-EC626E2AD4CD}"/>
    <cellStyle name="RISKbigPercent 2 8" xfId="3593" xr:uid="{F29620D1-9D74-4D7A-A309-E05A10E237EA}"/>
    <cellStyle name="RISKbigPercent 3" xfId="2414" xr:uid="{EB6EF7FD-8813-439B-889D-0552DB98B08A}"/>
    <cellStyle name="RISKbigPercent 3 2" xfId="2415" xr:uid="{C27EA11D-C8A5-4689-992D-5E0190FCFBB6}"/>
    <cellStyle name="RISKbigPercent 3 2 2" xfId="5872" xr:uid="{6225BF1D-6CFE-4EB4-878C-021E40D146A9}"/>
    <cellStyle name="RISKbigPercent 3 3" xfId="2416" xr:uid="{31380C09-24AF-4481-B5BE-72254C53017B}"/>
    <cellStyle name="RISKbigPercent 3 3 2" xfId="5873" xr:uid="{5C777073-3B48-4162-B70D-DE991C28AF10}"/>
    <cellStyle name="RISKbigPercent 3 4" xfId="2417" xr:uid="{06711C62-51D1-47CC-A6EE-782FA242D73A}"/>
    <cellStyle name="RISKbigPercent 3 4 2" xfId="5874" xr:uid="{FE4F4703-FB71-4CD8-BE54-37A60F9CBFB8}"/>
    <cellStyle name="RISKbigPercent 3 5" xfId="2418" xr:uid="{AEA8A8DD-F2CB-4993-9F34-B10BE4673D23}"/>
    <cellStyle name="RISKbigPercent 3 5 2" xfId="5875" xr:uid="{AE7F8E1A-BCF5-4BFA-91C4-0579D3F53376}"/>
    <cellStyle name="RISKbigPercent 3 6" xfId="2419" xr:uid="{1CF28137-4622-46E7-BBA4-2A3F95EB0803}"/>
    <cellStyle name="RISKbigPercent 3 6 2" xfId="5876" xr:uid="{46A08AD7-95CB-4176-AA3F-CF11B144F599}"/>
    <cellStyle name="RISKbigPercent 3 7" xfId="3594" xr:uid="{63AC327E-6687-4173-AADC-1D567EA89B40}"/>
    <cellStyle name="RISKbigPercent 3 8" xfId="3595" xr:uid="{DB635E14-E1EA-4D99-9AFA-ACCFF8C8EC17}"/>
    <cellStyle name="RISKbigPercent 4" xfId="2420" xr:uid="{DF144C4A-7E46-4004-ADDF-C85DFA3B7984}"/>
    <cellStyle name="RISKbigPercent 4 2" xfId="2421" xr:uid="{8B006B01-9788-4B92-BB7E-1D138C19E244}"/>
    <cellStyle name="RISKbigPercent 4 2 2" xfId="5877" xr:uid="{58DCD7F9-FED1-4C07-971D-4966B5B29FB6}"/>
    <cellStyle name="RISKbigPercent 4 3" xfId="2422" xr:uid="{CF65656D-C41D-4C47-BD51-53558188BAC4}"/>
    <cellStyle name="RISKbigPercent 4 3 2" xfId="5878" xr:uid="{F999058F-08C7-4A7D-B99A-C28B62135F8D}"/>
    <cellStyle name="RISKbigPercent 4 4" xfId="2423" xr:uid="{BE694540-DBEA-4CD8-BF7A-CB345574FC8A}"/>
    <cellStyle name="RISKbigPercent 4 4 2" xfId="5879" xr:uid="{8E52B43F-EE78-4362-9188-F64A2DA175AE}"/>
    <cellStyle name="RISKbigPercent 4 5" xfId="2424" xr:uid="{5CA0FADB-248C-4E9B-971A-E24FB37E5203}"/>
    <cellStyle name="RISKbigPercent 4 5 2" xfId="5880" xr:uid="{44910350-6098-4FDC-A105-472FC54B67A5}"/>
    <cellStyle name="RISKbigPercent 4 6" xfId="2425" xr:uid="{6B25657D-EDDA-41C8-A2F8-B40A5F5CC7B3}"/>
    <cellStyle name="RISKbigPercent 4 6 2" xfId="5881" xr:uid="{29392FFB-398C-4698-82ED-FFCA6D41C021}"/>
    <cellStyle name="RISKbigPercent 4 7" xfId="3596" xr:uid="{6A22F442-0C9F-4B63-96A7-C36428829FC6}"/>
    <cellStyle name="RISKbigPercent 4 8" xfId="3597" xr:uid="{537562A8-CF77-479B-9ACF-31B899D1DBA7}"/>
    <cellStyle name="RISKbigPercent 5" xfId="5882" xr:uid="{FDE0DAD5-F3C3-4153-A8A4-1085EF366354}"/>
    <cellStyle name="RISKblandrEdge" xfId="2426" xr:uid="{84CAB753-B21A-45AA-856F-8E47B23D1005}"/>
    <cellStyle name="RISKblandrEdge 2" xfId="2427" xr:uid="{BED706C9-50C5-4427-BA0B-E31A35A73693}"/>
    <cellStyle name="RISKblandrEdge 2 2" xfId="2428" xr:uid="{CD38D00D-EFA9-4D9B-883A-884EF341E6F0}"/>
    <cellStyle name="RISKblandrEdge 2 2 2" xfId="5883" xr:uid="{7BBA5C9D-00C5-44DD-BDF9-78B09C8AB886}"/>
    <cellStyle name="RISKblandrEdge 2 3" xfId="2429" xr:uid="{588EC52D-EAF7-4034-A652-B887A904FA12}"/>
    <cellStyle name="RISKblandrEdge 2 3 2" xfId="5884" xr:uid="{D7A48EC3-F20A-455F-A721-104C638C92BB}"/>
    <cellStyle name="RISKblandrEdge 2 4" xfId="2430" xr:uid="{11E3C1A8-0A45-4A35-A4CC-0AB03CEC5096}"/>
    <cellStyle name="RISKblandrEdge 2 4 2" xfId="5885" xr:uid="{A4C0BA2C-4B0C-4BFB-804C-45DA82082F69}"/>
    <cellStyle name="RISKblandrEdge 2 5" xfId="2431" xr:uid="{83655B4F-D02D-4333-B3AA-33321B2FB1BB}"/>
    <cellStyle name="RISKblandrEdge 2 5 2" xfId="5886" xr:uid="{8212E588-66E8-4EE3-9174-5B469A9F478F}"/>
    <cellStyle name="RISKblandrEdge 2 6" xfId="2432" xr:uid="{35400393-777A-4189-8A51-C62A2EE1FA6F}"/>
    <cellStyle name="RISKblandrEdge 2 6 2" xfId="5887" xr:uid="{E5178121-30C2-4539-A78F-AD1BB848F823}"/>
    <cellStyle name="RISKblandrEdge 2 7" xfId="3598" xr:uid="{D161E217-77B8-4CD1-BFA6-B119D0F9003C}"/>
    <cellStyle name="RISKblandrEdge 2 8" xfId="3599" xr:uid="{1DD44417-C561-4CF5-9935-6BC83543C062}"/>
    <cellStyle name="RISKblandrEdge 3" xfId="2433" xr:uid="{0862C16C-E246-4B9E-852A-CD6083767640}"/>
    <cellStyle name="RISKblandrEdge 3 2" xfId="2434" xr:uid="{AAFC11E5-CEB6-45F8-9104-E2800B5B5C26}"/>
    <cellStyle name="RISKblandrEdge 3 2 2" xfId="5888" xr:uid="{91FF8101-57C1-493C-AF66-7F4ED2668525}"/>
    <cellStyle name="RISKblandrEdge 3 3" xfId="2435" xr:uid="{1941C313-6ABB-4F91-915A-82CB8C2986F9}"/>
    <cellStyle name="RISKblandrEdge 3 3 2" xfId="5889" xr:uid="{5791C10C-3CC4-4054-9378-9950B3675EF8}"/>
    <cellStyle name="RISKblandrEdge 3 4" xfId="2436" xr:uid="{EE9CE1C7-C749-4E8D-BD4B-E05A1849A50D}"/>
    <cellStyle name="RISKblandrEdge 3 4 2" xfId="5890" xr:uid="{9F9850C6-956E-443E-9ABF-40951D7C00B5}"/>
    <cellStyle name="RISKblandrEdge 3 5" xfId="2437" xr:uid="{4C24E754-5979-483F-9504-9185BA0E4326}"/>
    <cellStyle name="RISKblandrEdge 3 5 2" xfId="5891" xr:uid="{874FB9C6-1F2B-4495-9E37-E63A108DCD20}"/>
    <cellStyle name="RISKblandrEdge 3 6" xfId="2438" xr:uid="{0F321C09-AC88-4CAB-911F-9137B0657B27}"/>
    <cellStyle name="RISKblandrEdge 3 6 2" xfId="5892" xr:uid="{7C34680A-AA49-402A-85E8-8C813A873407}"/>
    <cellStyle name="RISKblandrEdge 3 7" xfId="3600" xr:uid="{F98665DA-BEB8-4643-A626-2AE8DCF95B82}"/>
    <cellStyle name="RISKblandrEdge 3 8" xfId="3601" xr:uid="{0D120FDA-BC53-4A2A-BBAD-CE645FBDA924}"/>
    <cellStyle name="RISKblandrEdge 4" xfId="2439" xr:uid="{64CAC51A-7861-458F-AFDE-B521A4CB34CB}"/>
    <cellStyle name="RISKblandrEdge 4 2" xfId="2440" xr:uid="{E7AD6721-3AFF-49A0-BB9E-E6580FF29C08}"/>
    <cellStyle name="RISKblandrEdge 4 2 2" xfId="5893" xr:uid="{AF4793B6-3FE2-44B4-BA62-450192FD3A38}"/>
    <cellStyle name="RISKblandrEdge 4 3" xfId="2441" xr:uid="{A1EECB81-540C-420F-AA93-163E19DAF10C}"/>
    <cellStyle name="RISKblandrEdge 4 3 2" xfId="5894" xr:uid="{61242E98-DFED-4DB5-997D-93F053414006}"/>
    <cellStyle name="RISKblandrEdge 4 4" xfId="2442" xr:uid="{FA438284-8B73-41E3-B58A-4729B39EFB72}"/>
    <cellStyle name="RISKblandrEdge 4 4 2" xfId="5895" xr:uid="{21306541-13E8-4134-8DA2-1AA557A1BE61}"/>
    <cellStyle name="RISKblandrEdge 4 5" xfId="2443" xr:uid="{92C5F0E0-C5A2-4EBA-9732-E387068F9CD4}"/>
    <cellStyle name="RISKblandrEdge 4 5 2" xfId="5896" xr:uid="{0E97A7CE-8D37-4B96-8217-A7C22F2C90C6}"/>
    <cellStyle name="RISKblandrEdge 4 6" xfId="2444" xr:uid="{DC1121BD-6CB1-42A0-973C-57A0A7C5D8D9}"/>
    <cellStyle name="RISKblandrEdge 4 6 2" xfId="5897" xr:uid="{2F9709B9-31A9-482C-93D9-2FE505BEEA8D}"/>
    <cellStyle name="RISKblandrEdge 4 7" xfId="3602" xr:uid="{63E11F15-6DB3-485B-939C-315BB5BEA409}"/>
    <cellStyle name="RISKblandrEdge 4 8" xfId="3603" xr:uid="{AA6AE521-B4BD-4BFF-A82D-D0B48DE7F6E4}"/>
    <cellStyle name="RISKblandrEdge 5" xfId="5898" xr:uid="{A3894C45-0F24-4C12-933D-A4B83D5B9451}"/>
    <cellStyle name="RISKblCorner" xfId="2445" xr:uid="{3A203F68-97CC-4ADA-9840-A4692E8F517F}"/>
    <cellStyle name="RISKblCorner 2" xfId="2446" xr:uid="{31EFE976-164B-41B8-AF57-9D38BB3C366E}"/>
    <cellStyle name="RISKblCorner 2 2" xfId="2447" xr:uid="{50F0BA73-AFA4-44D8-84C9-6D19879458BA}"/>
    <cellStyle name="RISKblCorner 2 2 2" xfId="5899" xr:uid="{0DC060A8-402D-4253-9DCC-15A99FB0DF83}"/>
    <cellStyle name="RISKblCorner 2 3" xfId="2448" xr:uid="{EB26C0EC-AD97-4DDA-93FA-FCE17FF4083E}"/>
    <cellStyle name="RISKblCorner 2 3 2" xfId="5900" xr:uid="{16E739DF-A078-445A-BADA-5F8844490146}"/>
    <cellStyle name="RISKblCorner 2 4" xfId="2449" xr:uid="{B34DA002-30F7-44B8-85E1-3FD5418A4F5C}"/>
    <cellStyle name="RISKblCorner 2 4 2" xfId="5901" xr:uid="{5C58CC46-2DA2-4E98-94FE-5ADA3CBDD49F}"/>
    <cellStyle name="RISKblCorner 2 5" xfId="2450" xr:uid="{3305ECFB-9D65-4D1D-B80B-EE2E10DCCA4F}"/>
    <cellStyle name="RISKblCorner 2 5 2" xfId="5902" xr:uid="{BEED8BA5-1886-4873-9F49-4D22E24BB5E2}"/>
    <cellStyle name="RISKblCorner 2 6" xfId="2451" xr:uid="{42511922-10A9-42C2-95C3-D4C6A1207957}"/>
    <cellStyle name="RISKblCorner 2 6 2" xfId="5903" xr:uid="{C284808F-2011-424D-8FFC-A08AE4FE99B1}"/>
    <cellStyle name="RISKblCorner 2 7" xfId="3604" xr:uid="{1CBE3A57-2E4F-4A3D-86A6-8E00F3E812E6}"/>
    <cellStyle name="RISKblCorner 2 8" xfId="3605" xr:uid="{46724E67-7ADF-472C-B7B4-7E1345F32124}"/>
    <cellStyle name="RISKblCorner 3" xfId="2452" xr:uid="{8381CEFF-8AF2-47DD-B4F4-6B984B94E09D}"/>
    <cellStyle name="RISKblCorner 3 2" xfId="2453" xr:uid="{F6F8E6BE-EE00-4899-9F3A-4540DCDB0DAA}"/>
    <cellStyle name="RISKblCorner 3 2 2" xfId="5904" xr:uid="{31C0AA9A-B578-4A91-AB37-EC2739B24AC6}"/>
    <cellStyle name="RISKblCorner 3 3" xfId="2454" xr:uid="{C11A74E4-1054-4CFB-9E2B-A37732BF3912}"/>
    <cellStyle name="RISKblCorner 3 3 2" xfId="5905" xr:uid="{61AD41AF-3BC1-4902-964F-5EAF4CBBCB80}"/>
    <cellStyle name="RISKblCorner 3 4" xfId="2455" xr:uid="{8BA25DC7-F3EC-46F3-928A-E3E20DD1ED72}"/>
    <cellStyle name="RISKblCorner 3 4 2" xfId="5906" xr:uid="{59C5F6B7-FEF5-43C7-879A-38ED8E3064A2}"/>
    <cellStyle name="RISKblCorner 3 5" xfId="2456" xr:uid="{34D1930C-1076-46D0-907E-668662478D05}"/>
    <cellStyle name="RISKblCorner 3 5 2" xfId="5907" xr:uid="{046C4BD1-ABCF-47C6-9D72-31E92E104B0B}"/>
    <cellStyle name="RISKblCorner 3 6" xfId="2457" xr:uid="{7A63FFBE-B03F-41E3-88A7-15A7846D91AE}"/>
    <cellStyle name="RISKblCorner 3 6 2" xfId="5908" xr:uid="{34E6B459-6DA8-418A-B5F9-C5F170A701B5}"/>
    <cellStyle name="RISKblCorner 3 7" xfId="3606" xr:uid="{E93B8BF6-63A3-4825-8F63-756C4E345AB9}"/>
    <cellStyle name="RISKblCorner 3 8" xfId="3607" xr:uid="{8ECA2B01-8B99-43BD-A9B0-2BC6BE4FDF16}"/>
    <cellStyle name="RISKblCorner 4" xfId="2458" xr:uid="{0E3C4369-785B-4096-962C-BD88ADD95C80}"/>
    <cellStyle name="RISKblCorner 4 2" xfId="2459" xr:uid="{CB976607-F564-466F-9BEF-1DAEF2C75810}"/>
    <cellStyle name="RISKblCorner 4 2 2" xfId="5909" xr:uid="{9B3BD67E-799F-4BC7-A7F8-7084A0CE5BED}"/>
    <cellStyle name="RISKblCorner 4 3" xfId="2460" xr:uid="{5D18812B-D40E-4FD3-A017-F041C0510D49}"/>
    <cellStyle name="RISKblCorner 4 3 2" xfId="5910" xr:uid="{6FD5B2BA-F953-4A52-8ECA-B0EFAEBDF7F3}"/>
    <cellStyle name="RISKblCorner 4 4" xfId="2461" xr:uid="{FD471B64-42D8-4967-B678-BE757C0217FE}"/>
    <cellStyle name="RISKblCorner 4 4 2" xfId="5911" xr:uid="{03C540A7-DDA5-4670-A0E2-F817A97DE965}"/>
    <cellStyle name="RISKblCorner 4 5" xfId="2462" xr:uid="{33A98F90-9CEA-40E9-B4F9-6F3533E7BFEB}"/>
    <cellStyle name="RISKblCorner 4 5 2" xfId="5912" xr:uid="{F8371DE9-135E-4B5C-8EE2-ABBE3878987B}"/>
    <cellStyle name="RISKblCorner 4 6" xfId="2463" xr:uid="{5C5614F3-A3CB-478A-AE14-C44DDC8A9FEC}"/>
    <cellStyle name="RISKblCorner 4 6 2" xfId="5913" xr:uid="{A7CDD4DE-F98F-4847-8A9D-7636EE4425D1}"/>
    <cellStyle name="RISKblCorner 4 7" xfId="3608" xr:uid="{F9118855-819C-4522-B7C9-65679C9A4891}"/>
    <cellStyle name="RISKblCorner 4 8" xfId="3609" xr:uid="{59F43468-7835-4FEB-AE0A-E80E1745C205}"/>
    <cellStyle name="RISKblCorner 5" xfId="5914" xr:uid="{C159F939-5BCC-4E2F-8A30-6C429A430BFD}"/>
    <cellStyle name="RISKbottomEdge" xfId="2464" xr:uid="{A0AB5810-9E5F-4631-B2AE-BC247396C132}"/>
    <cellStyle name="RISKbottomEdge 2" xfId="2465" xr:uid="{8A950A7C-5A5A-46C6-9C45-A71490A1D8C0}"/>
    <cellStyle name="RISKbottomEdge 2 2" xfId="2466" xr:uid="{808F5B18-D1C0-4701-B309-547F8F3E8410}"/>
    <cellStyle name="RISKbottomEdge 2 2 2" xfId="5915" xr:uid="{23C426A0-606D-4B5E-8460-A9093C81EB54}"/>
    <cellStyle name="RISKbottomEdge 2 3" xfId="2467" xr:uid="{D439758A-7AD7-431B-BC36-C59FEB681885}"/>
    <cellStyle name="RISKbottomEdge 2 3 2" xfId="5916" xr:uid="{6EB90ACA-025C-49C6-8AFF-696A0639F2CD}"/>
    <cellStyle name="RISKbottomEdge 2 4" xfId="2468" xr:uid="{29974219-372E-463C-AB10-3923E9D7BD1B}"/>
    <cellStyle name="RISKbottomEdge 2 4 2" xfId="5917" xr:uid="{AAA53CD2-CEE1-4400-9675-9996550182A3}"/>
    <cellStyle name="RISKbottomEdge 2 5" xfId="2469" xr:uid="{0AAD7D41-EDA4-4129-9C93-141188348FA3}"/>
    <cellStyle name="RISKbottomEdge 2 5 2" xfId="5918" xr:uid="{4E070908-EE17-4E93-97BA-D9A307AF5BC0}"/>
    <cellStyle name="RISKbottomEdge 2 6" xfId="2470" xr:uid="{0089A0B3-0A82-4446-8AD0-6918BD98EA37}"/>
    <cellStyle name="RISKbottomEdge 2 6 2" xfId="5919" xr:uid="{495F19A4-D222-427D-8BF9-9DBCE43D1686}"/>
    <cellStyle name="RISKbottomEdge 2 7" xfId="3610" xr:uid="{B560BB58-4169-498A-9270-AA4A0082D7BA}"/>
    <cellStyle name="RISKbottomEdge 2 8" xfId="3611" xr:uid="{36579845-C5E5-4574-9E23-13E03F8C68F3}"/>
    <cellStyle name="RISKbottomEdge 3" xfId="2471" xr:uid="{9AF4AFBA-8993-480A-BEDD-98EB790BA02E}"/>
    <cellStyle name="RISKbottomEdge 3 2" xfId="2472" xr:uid="{EBF5A819-26D2-49A9-9C9C-BB1E0A9E222F}"/>
    <cellStyle name="RISKbottomEdge 3 2 2" xfId="5920" xr:uid="{CCBCC438-EC24-48D9-9FE5-406E418842C9}"/>
    <cellStyle name="RISKbottomEdge 3 3" xfId="2473" xr:uid="{B7D01F19-4F76-473A-A14A-A42602F7C955}"/>
    <cellStyle name="RISKbottomEdge 3 3 2" xfId="5921" xr:uid="{98A4934F-88E6-4802-8B93-5C3A66E19C3F}"/>
    <cellStyle name="RISKbottomEdge 3 4" xfId="2474" xr:uid="{8F7379B0-850D-4F37-A3CE-364794B6672C}"/>
    <cellStyle name="RISKbottomEdge 3 4 2" xfId="5922" xr:uid="{18493DF2-1A56-4E59-8658-8F2B2822AB38}"/>
    <cellStyle name="RISKbottomEdge 3 5" xfId="2475" xr:uid="{D7397D6C-B401-44B8-9773-A8D7B18B3476}"/>
    <cellStyle name="RISKbottomEdge 3 5 2" xfId="5923" xr:uid="{E45E3DE7-88C0-4680-8CEE-C16F2808A28B}"/>
    <cellStyle name="RISKbottomEdge 3 6" xfId="2476" xr:uid="{DEEAC97E-C64F-4DF3-B482-6CEC6BD4A83E}"/>
    <cellStyle name="RISKbottomEdge 3 6 2" xfId="5924" xr:uid="{4BA1CE69-05C8-4848-8516-03083FD3E3C0}"/>
    <cellStyle name="RISKbottomEdge 3 7" xfId="3612" xr:uid="{C0135163-871B-48E9-B557-CA19A163994A}"/>
    <cellStyle name="RISKbottomEdge 3 8" xfId="3613" xr:uid="{4A2ABC54-DEA4-4C1E-8589-3E16EF2AABD9}"/>
    <cellStyle name="RISKbottomEdge 4" xfId="2477" xr:uid="{1BBE3124-70DD-42C1-B584-E5275A4B3A61}"/>
    <cellStyle name="RISKbottomEdge 4 2" xfId="2478" xr:uid="{C8919721-CDAD-42AB-A796-AB9151982751}"/>
    <cellStyle name="RISKbottomEdge 4 2 2" xfId="5925" xr:uid="{165D0CCF-D191-4AEB-B82D-CCFCEE23B747}"/>
    <cellStyle name="RISKbottomEdge 4 3" xfId="2479" xr:uid="{2AF0F710-0C93-4BB1-8EA1-4DDF78E9C471}"/>
    <cellStyle name="RISKbottomEdge 4 3 2" xfId="5926" xr:uid="{568E8F77-0255-470B-B70E-2D7EFDBE393F}"/>
    <cellStyle name="RISKbottomEdge 4 4" xfId="2480" xr:uid="{5622450E-8955-46C5-9A2B-ECB8E3106B04}"/>
    <cellStyle name="RISKbottomEdge 4 4 2" xfId="5927" xr:uid="{587DA200-E17B-4913-8CFA-D5677F951453}"/>
    <cellStyle name="RISKbottomEdge 4 5" xfId="2481" xr:uid="{29E45666-E7B6-4067-8A8D-6493BB92E7C7}"/>
    <cellStyle name="RISKbottomEdge 4 5 2" xfId="5928" xr:uid="{DF583B4C-9416-494C-8444-A8327E5FFBF1}"/>
    <cellStyle name="RISKbottomEdge 4 6" xfId="2482" xr:uid="{396B9AFF-3857-4A1E-ABDA-49ACA5003841}"/>
    <cellStyle name="RISKbottomEdge 4 6 2" xfId="5929" xr:uid="{54243BB6-0038-46AB-B319-7D38619798A9}"/>
    <cellStyle name="RISKbottomEdge 4 7" xfId="3614" xr:uid="{F423267E-11B4-4583-9F30-4C4BE9567556}"/>
    <cellStyle name="RISKbottomEdge 4 8" xfId="3615" xr:uid="{A1F6819F-14E4-43F2-95C7-7762320752B4}"/>
    <cellStyle name="RISKbottomEdge 5" xfId="5930" xr:uid="{201F669C-D0C6-479E-ADF3-F4C6B75DF12A}"/>
    <cellStyle name="RISKbrCorner" xfId="2483" xr:uid="{E08F724D-A55A-4418-897D-C3D111DFD4B7}"/>
    <cellStyle name="RISKbrCorner 2" xfId="2484" xr:uid="{45B60C7F-31FF-44AA-83B4-0505BE133683}"/>
    <cellStyle name="RISKbrCorner 2 2" xfId="2485" xr:uid="{85EBADFC-8188-46DE-9EB2-3EAEB1996B51}"/>
    <cellStyle name="RISKbrCorner 2 2 2" xfId="5931" xr:uid="{8F4FCEA5-1B22-470B-97DE-7C5B949E246D}"/>
    <cellStyle name="RISKbrCorner 2 3" xfId="2486" xr:uid="{6BD879E7-92A1-4E1B-A138-C863EE9A889F}"/>
    <cellStyle name="RISKbrCorner 2 3 2" xfId="5932" xr:uid="{EC04ADC5-A528-4C47-84A0-30E4A9D0B0EE}"/>
    <cellStyle name="RISKbrCorner 2 4" xfId="2487" xr:uid="{8FE8E985-137A-4165-A97C-00ADDF26BDB3}"/>
    <cellStyle name="RISKbrCorner 2 4 2" xfId="5933" xr:uid="{DE6570EC-E816-4FD2-8FD7-30BC7CDCE3AB}"/>
    <cellStyle name="RISKbrCorner 2 5" xfId="2488" xr:uid="{65B55448-5767-4556-B4C0-26880254FB87}"/>
    <cellStyle name="RISKbrCorner 2 5 2" xfId="5934" xr:uid="{D346DE22-2D8F-4960-B1A7-B495F49387BE}"/>
    <cellStyle name="RISKbrCorner 2 6" xfId="2489" xr:uid="{C36B7491-EEE3-4FF8-B52D-97C9758A904D}"/>
    <cellStyle name="RISKbrCorner 2 6 2" xfId="5935" xr:uid="{6631A92F-8A76-4108-9DE5-777CF820F5F4}"/>
    <cellStyle name="RISKbrCorner 2 7" xfId="3616" xr:uid="{FDF4F61D-DD2E-433F-8FCA-7A8BF7135D89}"/>
    <cellStyle name="RISKbrCorner 2 8" xfId="3617" xr:uid="{6C3DCF01-BB4A-4BB0-883F-9729A59DC821}"/>
    <cellStyle name="RISKbrCorner 3" xfId="2490" xr:uid="{FC8100E9-CC2A-4536-988B-9993CAA298D6}"/>
    <cellStyle name="RISKbrCorner 3 2" xfId="2491" xr:uid="{F253F50B-4B4F-4955-A679-2E4518F98AF8}"/>
    <cellStyle name="RISKbrCorner 3 2 2" xfId="5936" xr:uid="{55B3D2CA-C24A-4530-AFE1-FB4E14DB65D9}"/>
    <cellStyle name="RISKbrCorner 3 3" xfId="2492" xr:uid="{99775C4A-6A25-4285-837A-5154F1B001DF}"/>
    <cellStyle name="RISKbrCorner 3 3 2" xfId="5937" xr:uid="{F1C5224C-9662-4B77-8EFB-BF51E16E1030}"/>
    <cellStyle name="RISKbrCorner 3 4" xfId="2493" xr:uid="{88D1469E-CB12-4231-BD4A-6DE96F51B849}"/>
    <cellStyle name="RISKbrCorner 3 4 2" xfId="5938" xr:uid="{E67931F1-056B-46DC-BE85-7732F7770EA3}"/>
    <cellStyle name="RISKbrCorner 3 5" xfId="2494" xr:uid="{9BD11929-A0A9-498D-A2BD-8DAFBF43DE9C}"/>
    <cellStyle name="RISKbrCorner 3 5 2" xfId="5939" xr:uid="{0D05907C-3B0F-4898-8F2D-EB9855109ED0}"/>
    <cellStyle name="RISKbrCorner 3 6" xfId="2495" xr:uid="{D7F3FA61-292D-4F8B-A89D-75780BB92FFA}"/>
    <cellStyle name="RISKbrCorner 3 6 2" xfId="5940" xr:uid="{79CB7EA9-064B-485E-9C62-C691205C0BDC}"/>
    <cellStyle name="RISKbrCorner 3 7" xfId="3618" xr:uid="{AE020AF6-E86B-4118-88D2-D999D175C495}"/>
    <cellStyle name="RISKbrCorner 3 8" xfId="3619" xr:uid="{A88CED28-62D1-48BC-8212-5F5D20789788}"/>
    <cellStyle name="RISKbrCorner 4" xfId="2496" xr:uid="{7E3F79B8-53CE-45E5-AC86-838DB3AC5635}"/>
    <cellStyle name="RISKbrCorner 4 2" xfId="2497" xr:uid="{F15FA3AA-8E7F-4D3A-87D5-CD81159C2FF8}"/>
    <cellStyle name="RISKbrCorner 4 2 2" xfId="5941" xr:uid="{CDF19863-10F3-4BD9-B553-B039DE1E7EE7}"/>
    <cellStyle name="RISKbrCorner 4 3" xfId="2498" xr:uid="{1B7A0392-5333-49A2-AEC9-BF09EBBF3D3D}"/>
    <cellStyle name="RISKbrCorner 4 3 2" xfId="5942" xr:uid="{D95BCDBA-6EF3-4E76-8BB2-C9D050C8500D}"/>
    <cellStyle name="RISKbrCorner 4 4" xfId="2499" xr:uid="{C8FD41DC-91F1-4D6E-8252-DB6B2DAE9CD5}"/>
    <cellStyle name="RISKbrCorner 4 4 2" xfId="5943" xr:uid="{6965F9A0-696C-48B9-AA9F-313880416981}"/>
    <cellStyle name="RISKbrCorner 4 5" xfId="2500" xr:uid="{C042A3A3-19B3-4B79-A7F4-9F7CF4BA76EF}"/>
    <cellStyle name="RISKbrCorner 4 5 2" xfId="5944" xr:uid="{897F9078-3C92-443F-B60F-10385745D06C}"/>
    <cellStyle name="RISKbrCorner 4 6" xfId="2501" xr:uid="{B56C4336-81BA-41CE-941C-D32B35435DCE}"/>
    <cellStyle name="RISKbrCorner 4 6 2" xfId="5945" xr:uid="{165ACF87-344F-462C-A7B4-75ADC9B6F10D}"/>
    <cellStyle name="RISKbrCorner 4 7" xfId="3620" xr:uid="{4EBEF001-04F3-40B7-9129-3C2F19924A16}"/>
    <cellStyle name="RISKbrCorner 4 8" xfId="3621" xr:uid="{468870C3-3BD1-42A2-8D7E-A317C484703A}"/>
    <cellStyle name="RISKbrCorner 5" xfId="5946" xr:uid="{38AC71FF-5525-4FDA-A524-82C29CE3C407}"/>
    <cellStyle name="RISKdarkBoxed" xfId="2502" xr:uid="{64B81B07-5A24-4311-86EC-DDD2ECC96D38}"/>
    <cellStyle name="RISKdarkBoxed 2" xfId="2503" xr:uid="{B80786C4-D0AF-4871-9888-389B16651E34}"/>
    <cellStyle name="RISKdarkBoxed 2 2" xfId="2504" xr:uid="{9FF1D937-1E10-48F4-B2DF-EC07B4ECBE64}"/>
    <cellStyle name="RISKdarkBoxed 2 2 2" xfId="2505" xr:uid="{634A631F-F982-4CAA-AC00-66EB3241B119}"/>
    <cellStyle name="RISKdarkBoxed 2 2 2 2" xfId="3622" xr:uid="{A93CFEA3-6A85-4A5E-96D1-77FBDE0F83A3}"/>
    <cellStyle name="RISKdarkBoxed 2 2 2 3" xfId="3623" xr:uid="{92094D3D-8FEB-4749-AB69-B8B29557A923}"/>
    <cellStyle name="RISKdarkBoxed 2 2 2_PPT Final" xfId="3624" xr:uid="{C64075B0-CA79-46C9-B4A2-B65F9EF77C43}"/>
    <cellStyle name="RISKdarkBoxed 2 2 3" xfId="3625" xr:uid="{C9DDC3EB-DF92-4CD2-BF35-6647BA272DBC}"/>
    <cellStyle name="RISKdarkBoxed 2 2 4" xfId="3626" xr:uid="{943FDF44-DDE0-4E0E-AB73-230B571B2C4B}"/>
    <cellStyle name="RISKdarkBoxed 2 2_PPT Final" xfId="3627" xr:uid="{3CE2849E-1452-41ED-B8A4-A80671F97DAA}"/>
    <cellStyle name="RISKdarkBoxed 2 3" xfId="2506" xr:uid="{1D427840-A840-4850-B733-BEAF8A6961EB}"/>
    <cellStyle name="RISKdarkBoxed 2 3 2" xfId="2507" xr:uid="{1E05E0ED-DD73-451C-8D53-40554AB3747D}"/>
    <cellStyle name="RISKdarkBoxed 2 3 2 2" xfId="3628" xr:uid="{FC05FA31-CB84-4DA5-B352-610CDC834EB8}"/>
    <cellStyle name="RISKdarkBoxed 2 3 2 3" xfId="3629" xr:uid="{A13658DE-59F3-420F-88E5-D1CE80CB0712}"/>
    <cellStyle name="RISKdarkBoxed 2 3 2_PPT Final" xfId="3630" xr:uid="{3DFCDF6C-3E7C-438C-BD71-B04046162C98}"/>
    <cellStyle name="RISKdarkBoxed 2 3 3" xfId="3631" xr:uid="{735762F0-0035-4831-A3F6-94F517BE1A3E}"/>
    <cellStyle name="RISKdarkBoxed 2 3 4" xfId="3632" xr:uid="{E60E2EC6-5719-44B6-A04A-88FA9AC9A823}"/>
    <cellStyle name="RISKdarkBoxed 2 3_PPT Final" xfId="3633" xr:uid="{079C1BF1-45EB-47BF-A783-8874ACEF8937}"/>
    <cellStyle name="RISKdarkBoxed 2 4" xfId="2508" xr:uid="{7231B7F5-7CE8-4636-A76F-F5DB3B9930FA}"/>
    <cellStyle name="RISKdarkBoxed 2 4 2" xfId="2509" xr:uid="{A245C685-D3C0-4DCC-8147-73D5807A95E2}"/>
    <cellStyle name="RISKdarkBoxed 2 4 2 2" xfId="3634" xr:uid="{2DD49B7C-FAEB-4953-A20F-A2EFDD2CB96D}"/>
    <cellStyle name="RISKdarkBoxed 2 4 2 3" xfId="3635" xr:uid="{E387C929-1F1C-4005-81BC-DF744D04D138}"/>
    <cellStyle name="RISKdarkBoxed 2 4 2_PPT Final" xfId="3636" xr:uid="{2242D84F-B743-4BFC-9E85-DE1BAC289056}"/>
    <cellStyle name="RISKdarkBoxed 2 4 3" xfId="3637" xr:uid="{2E0C1D46-1047-44F3-9272-DE03A8FF6050}"/>
    <cellStyle name="RISKdarkBoxed 2 4 4" xfId="3638" xr:uid="{667AA636-A7AB-4043-ADE0-8198B627FEA7}"/>
    <cellStyle name="RISKdarkBoxed 2 4_PPT Final" xfId="3639" xr:uid="{A5FFAA13-481D-4CFC-876F-480555EF92DB}"/>
    <cellStyle name="RISKdarkBoxed 2 5" xfId="2510" xr:uid="{DEED2FCB-3856-4361-92CC-AA0F27B43DCC}"/>
    <cellStyle name="RISKdarkBoxed 2 5 2" xfId="5947" xr:uid="{D7C56C88-6C45-4F51-8403-F567311AADFE}"/>
    <cellStyle name="RISKdarkBoxed 2 6" xfId="2511" xr:uid="{2A3A3D15-480F-4082-8570-E92141EF1CCE}"/>
    <cellStyle name="RISKdarkBoxed 2 6 2" xfId="5948" xr:uid="{34E9CFA1-34AE-4032-BB94-0B1AAE2DB69C}"/>
    <cellStyle name="RISKdarkBoxed 2 7" xfId="5949" xr:uid="{2C197FA7-F988-4935-A2A6-9A83CE7944F3}"/>
    <cellStyle name="RISKdarkBoxed 3" xfId="2512" xr:uid="{027D6D0E-198B-4B76-BF3B-5BABD7C39DBE}"/>
    <cellStyle name="RISKdarkBoxed 3 2" xfId="2513" xr:uid="{66254BCB-0787-430C-8C46-EC8A68730DF6}"/>
    <cellStyle name="RISKdarkBoxed 3 2 2" xfId="2514" xr:uid="{13D830A3-2A85-4C80-A667-E8BEF8263C06}"/>
    <cellStyle name="RISKdarkBoxed 3 2 2 2" xfId="5950" xr:uid="{6E24FDCF-7483-4F26-9059-645B0D86BB4A}"/>
    <cellStyle name="RISKdarkBoxed 3 2 3" xfId="5951" xr:uid="{6FACDBE5-ED56-43F3-B171-DCFFE61BCDFE}"/>
    <cellStyle name="RISKdarkBoxed 3 3" xfId="2515" xr:uid="{39280316-780C-48FD-9715-3D823DBEC514}"/>
    <cellStyle name="RISKdarkBoxed 3 3 2" xfId="2516" xr:uid="{74AEF8C4-4A8F-4B03-871D-96BBE9C73459}"/>
    <cellStyle name="RISKdarkBoxed 3 3 2 2" xfId="5952" xr:uid="{BDCE2A90-EAC0-45FA-9262-D30D8CB27B26}"/>
    <cellStyle name="RISKdarkBoxed 3 3 3" xfId="5953" xr:uid="{48F9F9F3-2E00-4211-A03F-F0E622CF59D9}"/>
    <cellStyle name="RISKdarkBoxed 3 4" xfId="2517" xr:uid="{7E4B8FD0-0C28-469B-806F-E1A96236EA56}"/>
    <cellStyle name="RISKdarkBoxed 3 4 2" xfId="2518" xr:uid="{7E7AD0A2-32BA-4A98-8572-64FE210815CC}"/>
    <cellStyle name="RISKdarkBoxed 3 4 2 2" xfId="5954" xr:uid="{8364E324-8516-4748-AFE6-3123FE083C77}"/>
    <cellStyle name="RISKdarkBoxed 3 4 3" xfId="5955" xr:uid="{4C99BA2F-E1C5-4E2C-AAD2-ECC0B7DA29D6}"/>
    <cellStyle name="RISKdarkBoxed 3 5" xfId="2519" xr:uid="{5CE2E8FC-E281-4BFC-B0C6-1BDB16C72E03}"/>
    <cellStyle name="RISKdarkBoxed 3 5 2" xfId="5956" xr:uid="{254D5D12-4CC8-4590-AE8D-791DA238283A}"/>
    <cellStyle name="RISKdarkBoxed 3 6" xfId="2520" xr:uid="{BDB4D3E3-36AB-44C3-8469-5AB67AA29F26}"/>
    <cellStyle name="RISKdarkBoxed 3 6 2" xfId="5957" xr:uid="{E88B85BE-0D7D-454C-8249-82B1AA865DD2}"/>
    <cellStyle name="RISKdarkBoxed 3 7" xfId="5958" xr:uid="{9616DC83-2846-4F9A-BB72-C836ECD84752}"/>
    <cellStyle name="RISKdarkBoxed 4" xfId="2521" xr:uid="{D9699C64-DA75-4CB2-AE76-709E170C3FC3}"/>
    <cellStyle name="RISKdarkBoxed 4 2" xfId="2522" xr:uid="{669A0243-D4BF-4EE7-8BE3-AC718673A27C}"/>
    <cellStyle name="RISKdarkBoxed 4 2 2" xfId="2523" xr:uid="{721CD129-38DE-4A2B-9833-CBE90ED0B078}"/>
    <cellStyle name="RISKdarkBoxed 4 2 2 2" xfId="5959" xr:uid="{F25FFABD-0573-4E26-AD6B-FBAA95D26CAF}"/>
    <cellStyle name="RISKdarkBoxed 4 2 3" xfId="5960" xr:uid="{D3A9AA58-F057-4A9A-966B-8DD2EC923EE2}"/>
    <cellStyle name="RISKdarkBoxed 4 3" xfId="2524" xr:uid="{92DC18A2-F8F8-422B-858B-12852E34C76F}"/>
    <cellStyle name="RISKdarkBoxed 4 3 2" xfId="2525" xr:uid="{0D22B255-D29F-4DE2-AFD6-5434270D8286}"/>
    <cellStyle name="RISKdarkBoxed 4 3 2 2" xfId="5961" xr:uid="{BFA46AC8-40EC-4B7A-AA3B-4F8DDDB38441}"/>
    <cellStyle name="RISKdarkBoxed 4 3 3" xfId="5962" xr:uid="{97E44E5A-CA90-4D87-9E60-DF84280B4E5E}"/>
    <cellStyle name="RISKdarkBoxed 4 4" xfId="2526" xr:uid="{9301ECB7-9D9F-4252-A995-AE2D989AE384}"/>
    <cellStyle name="RISKdarkBoxed 4 4 2" xfId="2527" xr:uid="{0316E1C7-2107-48C2-B9DB-05C783D4EF29}"/>
    <cellStyle name="RISKdarkBoxed 4 4 2 2" xfId="5963" xr:uid="{E6673304-A0A1-4166-A415-6BB00FCF3A7D}"/>
    <cellStyle name="RISKdarkBoxed 4 4 3" xfId="5964" xr:uid="{F287416A-F96F-4CE5-9A4F-9EA6DB5FA7E1}"/>
    <cellStyle name="RISKdarkBoxed 4 5" xfId="2528" xr:uid="{37738B7F-64E4-48D3-9E80-5EAFDACEF3DA}"/>
    <cellStyle name="RISKdarkBoxed 4 5 2" xfId="5965" xr:uid="{B1C96084-B657-4A06-9B1A-8E78EADFAAF7}"/>
    <cellStyle name="RISKdarkBoxed 4 6" xfId="2529" xr:uid="{F377A817-E47B-4C12-A495-8F78DB3D7547}"/>
    <cellStyle name="RISKdarkBoxed 4 6 2" xfId="5966" xr:uid="{CD7F874D-735B-4A90-83F9-99C343836484}"/>
    <cellStyle name="RISKdarkBoxed 4 7" xfId="5967" xr:uid="{31450F73-5DC9-41A0-9AEA-11C910AD6BFF}"/>
    <cellStyle name="RISKdarkBoxed 5" xfId="2530" xr:uid="{7EB4D4A2-B604-449F-91CC-EE757C7AA096}"/>
    <cellStyle name="RISKdarkBoxed 5 2" xfId="5968" xr:uid="{4B9A4555-5CA4-430C-916A-BFC30CB12A34}"/>
    <cellStyle name="RISKdarkBoxed 6" xfId="2531" xr:uid="{D2FC0052-B489-4AB0-AE98-2DCD6FD84C71}"/>
    <cellStyle name="RISKdarkBoxed 6 2" xfId="5969" xr:uid="{697ADA26-5141-4263-BBE0-CD330D7E1C22}"/>
    <cellStyle name="RISKdarkBoxed 7" xfId="2532" xr:uid="{826C2554-DC69-452B-9A45-FBC47679363E}"/>
    <cellStyle name="RISKdarkBoxed 7 2" xfId="5970" xr:uid="{738D5A1A-6600-448A-AB27-9E152E52BDAF}"/>
    <cellStyle name="RISKdarkBoxed 8" xfId="5971" xr:uid="{DC078C6F-749D-4D36-974D-6863E8D9C31F}"/>
    <cellStyle name="RISKdarkBoxed_GRUPO4Q-2009 COMPLETO" xfId="3640" xr:uid="{4678D835-18E9-4EA3-95EF-C7A0EA38A736}"/>
    <cellStyle name="RISKdarkShade" xfId="2533" xr:uid="{041C4636-065E-4A65-AF0A-0838CB88CB62}"/>
    <cellStyle name="RISKdarkShade 2" xfId="2534" xr:uid="{23DA3701-B48B-46CD-BA49-AE4899651AC9}"/>
    <cellStyle name="RISKdarkShade 2 2" xfId="2535" xr:uid="{941F2FF8-E8E1-4E13-9B96-218C9CDE6DFC}"/>
    <cellStyle name="RISKdarkShade 2 2 2" xfId="5972" xr:uid="{6CFF37DD-D2A7-4450-B48C-EBB36E49F50E}"/>
    <cellStyle name="RISKdarkShade 2 3" xfId="2536" xr:uid="{4D4BCC6E-D9D6-4E5D-9FED-57E805680EF3}"/>
    <cellStyle name="RISKdarkShade 2 3 2" xfId="5973" xr:uid="{F0F52383-C40A-47B6-983D-9C1C5B1AAAF6}"/>
    <cellStyle name="RISKdarkShade 2 4" xfId="2537" xr:uid="{819E7A62-96BC-4424-B6E2-71C556915CEA}"/>
    <cellStyle name="RISKdarkShade 2 4 2" xfId="5974" xr:uid="{D89E6A0D-0053-4612-B74F-F5709AD27F8F}"/>
    <cellStyle name="RISKdarkShade 2 5" xfId="2538" xr:uid="{ED42E91D-CABA-45D4-8C01-BD191EF51A74}"/>
    <cellStyle name="RISKdarkShade 2 5 2" xfId="5975" xr:uid="{1A00B5C4-5A29-4BE6-AD9B-41C63AA6777E}"/>
    <cellStyle name="RISKdarkShade 2 6" xfId="2539" xr:uid="{FD90ADFC-93B4-4FC3-AE9D-3F4B9CA7E8A3}"/>
    <cellStyle name="RISKdarkShade 2 6 2" xfId="5976" xr:uid="{B4347665-D986-425F-9F97-0F5394822FCF}"/>
    <cellStyle name="RISKdarkShade 2 7" xfId="5977" xr:uid="{9FFA2F1D-8542-47C3-91FE-1CDF785086EF}"/>
    <cellStyle name="RISKdarkShade 3" xfId="2540" xr:uid="{464E0ACE-AAFC-4B6A-90B4-026ECAA5DE1C}"/>
    <cellStyle name="RISKdarkShade 3 2" xfId="2541" xr:uid="{A5749C24-4E3F-4A14-9572-7A4A92FF8F88}"/>
    <cellStyle name="RISKdarkShade 3 2 2" xfId="5978" xr:uid="{84C324D0-710A-4C85-A151-D4B95A5BE2D2}"/>
    <cellStyle name="RISKdarkShade 3 3" xfId="2542" xr:uid="{C418E977-6849-4061-9D05-B69282779541}"/>
    <cellStyle name="RISKdarkShade 3 3 2" xfId="5979" xr:uid="{63A4D636-1E2E-42BF-963D-3A245198A672}"/>
    <cellStyle name="RISKdarkShade 3 4" xfId="2543" xr:uid="{D6BF5A07-07D6-4C65-B383-69F3462B4D6B}"/>
    <cellStyle name="RISKdarkShade 3 4 2" xfId="5980" xr:uid="{086D8AFD-B61C-4B2A-811D-915491AB5212}"/>
    <cellStyle name="RISKdarkShade 3 5" xfId="2544" xr:uid="{65EFAF10-6DFF-43E5-AA88-9AEB5B9B52BA}"/>
    <cellStyle name="RISKdarkShade 3 5 2" xfId="5981" xr:uid="{8CCA57DA-9960-401D-A0AC-FA78B11CE289}"/>
    <cellStyle name="RISKdarkShade 3 6" xfId="2545" xr:uid="{CFD85F79-55EF-4CF1-9D25-1D731838821D}"/>
    <cellStyle name="RISKdarkShade 3 6 2" xfId="5982" xr:uid="{846A47EF-5DE3-4881-A430-D542C5D51D32}"/>
    <cellStyle name="RISKdarkShade 3 7" xfId="5983" xr:uid="{76257AD2-2C65-4E3D-BEF3-78A35CF8E5FC}"/>
    <cellStyle name="RISKdarkShade 4" xfId="2546" xr:uid="{829F24AF-79BC-4F8D-8867-6CD105A2FDF2}"/>
    <cellStyle name="RISKdarkShade 4 2" xfId="2547" xr:uid="{9BB464A3-1BC2-4E6A-8A49-2006CE0CC37C}"/>
    <cellStyle name="RISKdarkShade 4 2 2" xfId="5984" xr:uid="{BF31EF85-DC8B-4792-B14E-0A4E4801EA1D}"/>
    <cellStyle name="RISKdarkShade 4 3" xfId="2548" xr:uid="{0B0BF8CE-040B-414A-B7CC-294BBFAD1A48}"/>
    <cellStyle name="RISKdarkShade 4 3 2" xfId="5985" xr:uid="{3F2A74AA-1AD9-47C8-A8CE-DD7B8F426CE3}"/>
    <cellStyle name="RISKdarkShade 4 4" xfId="2549" xr:uid="{4432BFA7-899B-4F99-A7BE-2FE7AE4214E5}"/>
    <cellStyle name="RISKdarkShade 4 4 2" xfId="5986" xr:uid="{82470202-9AB2-46AD-BC2F-FA91FBA96493}"/>
    <cellStyle name="RISKdarkShade 4 5" xfId="2550" xr:uid="{DD6F9F37-71A5-4571-A998-C5FB145640B8}"/>
    <cellStyle name="RISKdarkShade 4 5 2" xfId="5987" xr:uid="{B588AAAF-B3E7-41FA-82B2-B77C73750632}"/>
    <cellStyle name="RISKdarkShade 4 6" xfId="2551" xr:uid="{E64E00D2-9F8C-4351-9CBD-403F926497C2}"/>
    <cellStyle name="RISKdarkShade 4 6 2" xfId="5988" xr:uid="{46FA8E68-40FC-442E-B0DA-BD3B5AD166C3}"/>
    <cellStyle name="RISKdarkShade 4 7" xfId="5989" xr:uid="{7FBAE713-478A-4E93-97AB-0A7CE888FA4E}"/>
    <cellStyle name="RISKdarkShade 5" xfId="5990" xr:uid="{26096AA4-CEE8-48CB-BA94-F0D0FF2A7BAB}"/>
    <cellStyle name="RISKdbottomEdge" xfId="2552" xr:uid="{957119D4-D8F0-4283-8552-701AC896CE8D}"/>
    <cellStyle name="RISKdbottomEdge 2" xfId="2553" xr:uid="{95AC166B-43EC-406B-98F4-01F131142AB8}"/>
    <cellStyle name="RISKdbottomEdge 2 2" xfId="2554" xr:uid="{1E7505F1-6043-4ABE-BFCF-DBDB2E5CFE14}"/>
    <cellStyle name="RISKdbottomEdge 2 2 2" xfId="5991" xr:uid="{C285E90D-5391-4079-902A-7117AE9D3F1B}"/>
    <cellStyle name="RISKdbottomEdge 2 3" xfId="2555" xr:uid="{5512084E-B4AE-4F65-BF65-E17C2045FC60}"/>
    <cellStyle name="RISKdbottomEdge 2 3 2" xfId="5992" xr:uid="{EE794885-3B15-49A5-BEED-0CA3698FC0D8}"/>
    <cellStyle name="RISKdbottomEdge 2 4" xfId="2556" xr:uid="{DC4F7EC3-0384-405C-B395-FE7904F3D50A}"/>
    <cellStyle name="RISKdbottomEdge 2 4 2" xfId="5993" xr:uid="{B6919530-76C9-4053-84BE-F8D2293E914F}"/>
    <cellStyle name="RISKdbottomEdge 2 5" xfId="2557" xr:uid="{461125B5-2B9A-4032-88E1-DE6444C32603}"/>
    <cellStyle name="RISKdbottomEdge 2 5 2" xfId="5994" xr:uid="{89A59B21-9254-4C76-82FA-428CFDF04DB7}"/>
    <cellStyle name="RISKdbottomEdge 2 6" xfId="2558" xr:uid="{FB792529-128F-4DC1-9452-7060752C5101}"/>
    <cellStyle name="RISKdbottomEdge 2 6 2" xfId="5995" xr:uid="{C3A2125A-9294-45D1-A35C-9A03F89B7AE7}"/>
    <cellStyle name="RISKdbottomEdge 2 7" xfId="5996" xr:uid="{5498A883-D073-4F7C-92C0-99C68E0FF35D}"/>
    <cellStyle name="RISKdbottomEdge 3" xfId="2559" xr:uid="{3D7E5B59-BE06-4655-89B3-C93A5FE82F71}"/>
    <cellStyle name="RISKdbottomEdge 3 2" xfId="2560" xr:uid="{57AB5F97-E922-403B-9C09-5DEA01467A56}"/>
    <cellStyle name="RISKdbottomEdge 3 2 2" xfId="5997" xr:uid="{7C3E4C2A-64F4-435F-9473-07FFEFB8E5C1}"/>
    <cellStyle name="RISKdbottomEdge 3 3" xfId="2561" xr:uid="{DC982A1A-121A-4133-AC19-DB7547511150}"/>
    <cellStyle name="RISKdbottomEdge 3 3 2" xfId="5998" xr:uid="{809AE4B8-40CC-48CD-8E90-4B2F0499D2A6}"/>
    <cellStyle name="RISKdbottomEdge 3 4" xfId="2562" xr:uid="{9F2725C7-63E3-41DF-AE2D-3291043797B5}"/>
    <cellStyle name="RISKdbottomEdge 3 4 2" xfId="5999" xr:uid="{F75B5EF7-3612-4553-B1F4-DBF8A4BC6B6F}"/>
    <cellStyle name="RISKdbottomEdge 3 5" xfId="2563" xr:uid="{BE2FEEA8-1B37-47A3-81DF-1F7520DF2799}"/>
    <cellStyle name="RISKdbottomEdge 3 5 2" xfId="6000" xr:uid="{70FEEFA8-650F-4CA8-8B1C-A2C3B370204B}"/>
    <cellStyle name="RISKdbottomEdge 3 6" xfId="2564" xr:uid="{420E6493-DCF3-4FA9-A57C-4264A42CD25B}"/>
    <cellStyle name="RISKdbottomEdge 3 6 2" xfId="6001" xr:uid="{F745FABE-CA26-4211-9739-7C26A6E021A4}"/>
    <cellStyle name="RISKdbottomEdge 3 7" xfId="6002" xr:uid="{EA607F27-286D-42FB-BE8E-D92746909EC4}"/>
    <cellStyle name="RISKdbottomEdge 4" xfId="2565" xr:uid="{B27B81BA-A1B6-487F-BCF7-98E383E62C65}"/>
    <cellStyle name="RISKdbottomEdge 4 2" xfId="2566" xr:uid="{BB3AD842-12EA-4CD9-8D66-7038C47A7D82}"/>
    <cellStyle name="RISKdbottomEdge 4 2 2" xfId="6003" xr:uid="{6DD8EA28-1CEF-4F50-9901-37D3A7AAACD2}"/>
    <cellStyle name="RISKdbottomEdge 4 3" xfId="2567" xr:uid="{0B66EE1C-B386-4EA2-97D6-6964FCD2FC22}"/>
    <cellStyle name="RISKdbottomEdge 4 3 2" xfId="6004" xr:uid="{78F2EC9D-3973-45D3-969B-918FAC0C476B}"/>
    <cellStyle name="RISKdbottomEdge 4 4" xfId="2568" xr:uid="{BCC78CED-C77F-4BF3-A788-6A29E72E1A6D}"/>
    <cellStyle name="RISKdbottomEdge 4 4 2" xfId="6005" xr:uid="{8BB9CFAE-B6FD-4F0E-9323-A72053877AA8}"/>
    <cellStyle name="RISKdbottomEdge 4 5" xfId="2569" xr:uid="{330682C5-654E-45D8-8416-445CB7F622A5}"/>
    <cellStyle name="RISKdbottomEdge 4 5 2" xfId="6006" xr:uid="{B56BFD95-8346-4AC1-81B3-715A6DE252FD}"/>
    <cellStyle name="RISKdbottomEdge 4 6" xfId="2570" xr:uid="{50E2869B-2381-4C7F-80BC-1AE4165D6E20}"/>
    <cellStyle name="RISKdbottomEdge 4 6 2" xfId="6007" xr:uid="{335238CA-862A-4845-AE25-D3533183A2E0}"/>
    <cellStyle name="RISKdbottomEdge 4 7" xfId="6008" xr:uid="{26157E11-FE2F-40DC-9770-011C5DBF8C73}"/>
    <cellStyle name="RISKdbottomEdge 5" xfId="6009" xr:uid="{93361E81-267E-4550-A043-5B7106989A83}"/>
    <cellStyle name="RISKdrightEdge" xfId="2571" xr:uid="{86EB3DCC-0913-4C04-B8A2-A87FB247CBAC}"/>
    <cellStyle name="RISKdrightEdge 2" xfId="2572" xr:uid="{9C2EAA52-7B5E-4564-82F8-46D4F12A0840}"/>
    <cellStyle name="RISKdrightEdge 2 2" xfId="2573" xr:uid="{3594E156-1EAE-48D1-A2AD-45F5E2820412}"/>
    <cellStyle name="RISKdrightEdge 2 2 2" xfId="6010" xr:uid="{C48631B8-EAC4-4734-88EF-7A3A35E439ED}"/>
    <cellStyle name="RISKdrightEdge 2 3" xfId="2574" xr:uid="{2ABE8240-2C97-40D6-9F67-EE2DFE71C75C}"/>
    <cellStyle name="RISKdrightEdge 2 3 2" xfId="6011" xr:uid="{2A73479E-F45E-4807-B0F2-283E6F86990D}"/>
    <cellStyle name="RISKdrightEdge 2 4" xfId="2575" xr:uid="{3C3540E0-132A-4F78-97D3-AC321339A9AF}"/>
    <cellStyle name="RISKdrightEdge 2 4 2" xfId="6012" xr:uid="{F0C69048-0032-4FC4-93C4-42F601B616C4}"/>
    <cellStyle name="RISKdrightEdge 2 5" xfId="2576" xr:uid="{2E207E70-A5FE-46CD-842D-F4566DC5A29F}"/>
    <cellStyle name="RISKdrightEdge 2 5 2" xfId="6013" xr:uid="{296D4FB5-4B31-497B-84BB-633CFD58B2DC}"/>
    <cellStyle name="RISKdrightEdge 2 6" xfId="2577" xr:uid="{1A7B3406-000B-4548-BC43-9EB71BB00AA5}"/>
    <cellStyle name="RISKdrightEdge 2 6 2" xfId="6014" xr:uid="{A1FEB95D-8322-4E7E-9995-C4235297E032}"/>
    <cellStyle name="RISKdrightEdge 2 7" xfId="6015" xr:uid="{12A887C1-DD0C-4D76-B0A4-E04895454B3E}"/>
    <cellStyle name="RISKdrightEdge 3" xfId="2578" xr:uid="{2628222F-B9E7-459F-8A0E-C820C3BFC939}"/>
    <cellStyle name="RISKdrightEdge 3 2" xfId="2579" xr:uid="{FD859D2D-A4C6-4403-8DEE-C1C4914BF6D3}"/>
    <cellStyle name="RISKdrightEdge 3 2 2" xfId="6016" xr:uid="{FECF2CEB-04B5-4970-8A56-5C555E09F567}"/>
    <cellStyle name="RISKdrightEdge 3 3" xfId="2580" xr:uid="{577DC442-9BFF-44F0-B286-5C934084CE9B}"/>
    <cellStyle name="RISKdrightEdge 3 3 2" xfId="6017" xr:uid="{579D9F6A-45C7-4D61-9B52-CEA06CAD427B}"/>
    <cellStyle name="RISKdrightEdge 3 4" xfId="2581" xr:uid="{298EBDBE-D773-473E-ACD7-4E1383109E10}"/>
    <cellStyle name="RISKdrightEdge 3 4 2" xfId="6018" xr:uid="{FD46CEA7-AA2F-451D-A8F1-9107476E9EAB}"/>
    <cellStyle name="RISKdrightEdge 3 5" xfId="2582" xr:uid="{E5DF53AB-6D44-4228-8BB0-BE484226A4B2}"/>
    <cellStyle name="RISKdrightEdge 3 5 2" xfId="6019" xr:uid="{1A61A6A1-2621-4D66-84B4-39E1069CDD83}"/>
    <cellStyle name="RISKdrightEdge 3 6" xfId="2583" xr:uid="{D22FF213-EE0E-46FE-A1A3-F604BEF0DA09}"/>
    <cellStyle name="RISKdrightEdge 3 6 2" xfId="6020" xr:uid="{37D3F0B3-A145-4E05-BEC3-0E34D7237EAF}"/>
    <cellStyle name="RISKdrightEdge 3 7" xfId="6021" xr:uid="{7AB11EAB-C6BE-4D85-80A4-E6C7CC2DEB2E}"/>
    <cellStyle name="RISKdrightEdge 4" xfId="2584" xr:uid="{277D98B1-258A-48C6-B009-8F56E532B562}"/>
    <cellStyle name="RISKdrightEdge 4 2" xfId="2585" xr:uid="{4B7E7840-C246-4CB7-B737-40D8312635FF}"/>
    <cellStyle name="RISKdrightEdge 4 2 2" xfId="6022" xr:uid="{53A48DAF-DDF8-4035-93B4-C943949393E5}"/>
    <cellStyle name="RISKdrightEdge 4 3" xfId="2586" xr:uid="{11372F93-37E6-42DC-861E-D0E56A078F73}"/>
    <cellStyle name="RISKdrightEdge 4 3 2" xfId="6023" xr:uid="{BC505320-6095-48E3-9C6A-7FE2B6740205}"/>
    <cellStyle name="RISKdrightEdge 4 4" xfId="2587" xr:uid="{765AD430-12B1-41F2-B595-6A08921328C3}"/>
    <cellStyle name="RISKdrightEdge 4 4 2" xfId="6024" xr:uid="{3F2D6B42-34E3-4CCB-B10E-B7F799D219D8}"/>
    <cellStyle name="RISKdrightEdge 4 5" xfId="2588" xr:uid="{EFBE7783-F347-4AF9-A50E-B8E6368623F5}"/>
    <cellStyle name="RISKdrightEdge 4 5 2" xfId="6025" xr:uid="{6884109D-F5EC-4F47-B72C-A6ECBDEF86D3}"/>
    <cellStyle name="RISKdrightEdge 4 6" xfId="2589" xr:uid="{5BE2DDE9-B4CE-4538-B075-E5E26D9A1C6E}"/>
    <cellStyle name="RISKdrightEdge 4 6 2" xfId="6026" xr:uid="{C34AA21C-DE3B-4901-8BD4-64F86C864ED7}"/>
    <cellStyle name="RISKdrightEdge 4 7" xfId="6027" xr:uid="{7D00B2A4-D9EC-4B5A-9FDA-B51D8943D82D}"/>
    <cellStyle name="RISKdrightEdge 5" xfId="6028" xr:uid="{EA740A4E-9D62-462E-A95E-09C6FE20FE0B}"/>
    <cellStyle name="RISKdurationTime" xfId="2590" xr:uid="{EA322AC3-9EFB-49C4-BAC5-A20ABA8C4774}"/>
    <cellStyle name="RISKdurationTime 2" xfId="2591" xr:uid="{F551A544-AD94-49C0-8864-9A84DD85F061}"/>
    <cellStyle name="RISKdurationTime 2 2" xfId="2592" xr:uid="{28648C9E-BB00-4C06-8897-2F936705A792}"/>
    <cellStyle name="RISKdurationTime 2 2 2" xfId="6029" xr:uid="{B620B4A5-1ABE-4D5F-B4E0-6EBAFD1DA2FA}"/>
    <cellStyle name="RISKdurationTime 2 3" xfId="2593" xr:uid="{BBA3A506-1AB5-4CB1-9707-17CB8FF6BD4A}"/>
    <cellStyle name="RISKdurationTime 2 3 2" xfId="6030" xr:uid="{3270C9D4-B801-472A-AD4F-3AEC1B7AA7F9}"/>
    <cellStyle name="RISKdurationTime 2 4" xfId="2594" xr:uid="{165BD6D4-1D0A-46D5-A60A-515764CACDC0}"/>
    <cellStyle name="RISKdurationTime 2 4 2" xfId="6031" xr:uid="{6299562C-7B30-4150-9B37-B0EF6A380396}"/>
    <cellStyle name="RISKdurationTime 2 5" xfId="2595" xr:uid="{20303622-3A09-41B7-929E-2084C24CA76E}"/>
    <cellStyle name="RISKdurationTime 2 5 2" xfId="6032" xr:uid="{456C29FE-B985-4683-BCCF-585AB0F01CE6}"/>
    <cellStyle name="RISKdurationTime 2 6" xfId="2596" xr:uid="{59716357-293D-40AE-819B-DF0ACDF68FC3}"/>
    <cellStyle name="RISKdurationTime 2 6 2" xfId="6033" xr:uid="{C8B94122-7465-48FB-ACB3-A7340491F8D9}"/>
    <cellStyle name="RISKdurationTime 2 7" xfId="6034" xr:uid="{04DB8D99-4091-46DE-8833-0289ACDFE1EB}"/>
    <cellStyle name="RISKdurationTime 3" xfId="2597" xr:uid="{B3104F33-C4BB-4F62-A6C0-291C420856B6}"/>
    <cellStyle name="RISKdurationTime 3 2" xfId="2598" xr:uid="{A537C6C6-E917-46E2-9AFA-0F5CEBFDB84E}"/>
    <cellStyle name="RISKdurationTime 3 2 2" xfId="6035" xr:uid="{A492DC71-EECC-46BE-B8A2-B6692F442DB2}"/>
    <cellStyle name="RISKdurationTime 3 3" xfId="2599" xr:uid="{18BF78A5-4E6A-4566-8EC9-8A64FE19168F}"/>
    <cellStyle name="RISKdurationTime 3 3 2" xfId="6036" xr:uid="{11A06D36-43B1-40DD-B876-E74B3B78C450}"/>
    <cellStyle name="RISKdurationTime 3 4" xfId="2600" xr:uid="{681AF53D-3BFB-4626-B339-ACD7E7AC359C}"/>
    <cellStyle name="RISKdurationTime 3 4 2" xfId="6037" xr:uid="{FDD9430D-0D88-463D-AA4B-8C2C08EADFE2}"/>
    <cellStyle name="RISKdurationTime 3 5" xfId="2601" xr:uid="{08004A54-1889-4694-A0C7-1DC9D1D18C34}"/>
    <cellStyle name="RISKdurationTime 3 5 2" xfId="6038" xr:uid="{16AFFEAA-1C9C-4934-B111-91F154B1109B}"/>
    <cellStyle name="RISKdurationTime 3 6" xfId="2602" xr:uid="{F76AEE8D-D139-4132-ABAE-02AA817CE80D}"/>
    <cellStyle name="RISKdurationTime 3 6 2" xfId="6039" xr:uid="{08C0CDE5-759C-4372-A1E4-8D126A86FA86}"/>
    <cellStyle name="RISKdurationTime 3 7" xfId="6040" xr:uid="{0B86553A-6109-4E85-90AC-FF72F1817CBE}"/>
    <cellStyle name="RISKdurationTime 4" xfId="2603" xr:uid="{38EEC011-597E-46A3-AB62-59E404690D6D}"/>
    <cellStyle name="RISKdurationTime 4 2" xfId="2604" xr:uid="{27B64E4C-5EC6-4455-96D1-0CF90F012A41}"/>
    <cellStyle name="RISKdurationTime 4 2 2" xfId="6041" xr:uid="{2D58E599-F437-48C4-BCAC-0C4C95BB86BC}"/>
    <cellStyle name="RISKdurationTime 4 3" xfId="2605" xr:uid="{2A1F7969-6E72-44C7-A02D-EA70A4E8B2D0}"/>
    <cellStyle name="RISKdurationTime 4 3 2" xfId="6042" xr:uid="{0ADA6762-1B4B-4255-9FB8-36B8872E3843}"/>
    <cellStyle name="RISKdurationTime 4 4" xfId="2606" xr:uid="{76A1415F-2A4B-492D-B853-6A22E6110D8F}"/>
    <cellStyle name="RISKdurationTime 4 4 2" xfId="6043" xr:uid="{43433AA4-2C32-4EBA-8A40-9B12504BDAFE}"/>
    <cellStyle name="RISKdurationTime 4 5" xfId="2607" xr:uid="{4BCDAF73-20AA-42C0-8A4F-46D198CA6C79}"/>
    <cellStyle name="RISKdurationTime 4 5 2" xfId="6044" xr:uid="{459F0223-59F9-4C4D-BDAB-F663F47BB32D}"/>
    <cellStyle name="RISKdurationTime 4 6" xfId="2608" xr:uid="{09A38430-DFBA-4C3B-90E4-6D0A17969903}"/>
    <cellStyle name="RISKdurationTime 4 6 2" xfId="6045" xr:uid="{6EF9B2E7-C22B-4433-89D0-7ADA5FA63892}"/>
    <cellStyle name="RISKdurationTime 4 7" xfId="6046" xr:uid="{9D0F42BE-307D-4BB2-B37E-FBD6FE865781}"/>
    <cellStyle name="RISKdurationTime 5" xfId="6047" xr:uid="{72FC44A6-A411-4B76-8843-9D59DE13A14B}"/>
    <cellStyle name="RISKinNumber" xfId="2609" xr:uid="{CA954739-EBA5-41E6-9682-E946D7ED3583}"/>
    <cellStyle name="RISKinNumber 2" xfId="2610" xr:uid="{048B3046-8127-4F20-84F3-F08928EC61D4}"/>
    <cellStyle name="RISKinNumber 2 2" xfId="2611" xr:uid="{C11B92A0-34C5-4025-A673-3E0D7E1AE37E}"/>
    <cellStyle name="RISKinNumber 2 3" xfId="2612" xr:uid="{D0CE1837-68DA-4339-9BDE-08712BE882AE}"/>
    <cellStyle name="RISKinNumber 2 4" xfId="2613" xr:uid="{CA24FB28-EE81-44BB-87AD-5D56F68C5565}"/>
    <cellStyle name="RISKinNumber 2 5" xfId="2614" xr:uid="{9E3A7398-3FC3-46BC-A8BE-D289B14CB44B}"/>
    <cellStyle name="RISKinNumber 2 6" xfId="2615" xr:uid="{622C80FE-CD09-4FAB-9E46-5D64CC13226E}"/>
    <cellStyle name="RISKinNumber 2_ActiFijos" xfId="2616" xr:uid="{4E8E57CB-A06D-4CF5-9E42-0DBE6DABA1F7}"/>
    <cellStyle name="RISKinNumber 3" xfId="2617" xr:uid="{C9A607E0-6176-4324-8B34-B80262EB99BC}"/>
    <cellStyle name="RISKinNumber 3 2" xfId="2618" xr:uid="{A22DD0DE-6C79-4135-8426-B9F3F55B1A36}"/>
    <cellStyle name="RISKinNumber 3 3" xfId="2619" xr:uid="{FB251CB8-8DBB-4F0E-9853-404C379181A3}"/>
    <cellStyle name="RISKinNumber 3 4" xfId="2620" xr:uid="{70471EA4-00A4-42D1-A2AD-FB844E67BA84}"/>
    <cellStyle name="RISKinNumber 3 5" xfId="2621" xr:uid="{9C36926B-1A30-4040-BA27-17C6136E9637}"/>
    <cellStyle name="RISKinNumber 3 6" xfId="2622" xr:uid="{1622E38E-BAE1-48D6-8342-9ACE15AFCFA5}"/>
    <cellStyle name="RISKinNumber 3_ActiFijos" xfId="2623" xr:uid="{041F0FE6-833B-4A89-94E9-69414244B956}"/>
    <cellStyle name="RISKinNumber 4" xfId="2624" xr:uid="{1B89961B-32A2-4B7B-81F1-FB9B481DE07A}"/>
    <cellStyle name="RISKinNumber 4 2" xfId="2625" xr:uid="{EE7D0BBB-A710-4FA1-8D87-24A57D9FB0D6}"/>
    <cellStyle name="RISKinNumber 4 3" xfId="2626" xr:uid="{A7244070-7CCA-495E-97C3-FC6447D16B03}"/>
    <cellStyle name="RISKinNumber 4 4" xfId="2627" xr:uid="{D360AA1D-99BD-48CD-80FA-B1A110CFC03B}"/>
    <cellStyle name="RISKinNumber 4 5" xfId="2628" xr:uid="{DFC7E81A-4650-469A-BFAF-CA35F2469EFF}"/>
    <cellStyle name="RISKinNumber 4 6" xfId="2629" xr:uid="{ABDDD444-0956-4E12-87A9-61C760CFBF2C}"/>
    <cellStyle name="RISKinNumber 4_ActiFijos" xfId="2630" xr:uid="{887F1B36-2196-4925-87EB-2A4EF568101B}"/>
    <cellStyle name="RISKinNumber_Bases_Generales" xfId="2631" xr:uid="{2B46FCC1-540C-4641-9602-D3CFE9840579}"/>
    <cellStyle name="RISKlandrEdge" xfId="2632" xr:uid="{7A4FD55B-1FB9-4281-BBA9-A7DB7ED72305}"/>
    <cellStyle name="RISKlandrEdge 2" xfId="2633" xr:uid="{70CB1180-675F-4DF0-B7C7-D9670ABF3B8F}"/>
    <cellStyle name="RISKlandrEdge 2 2" xfId="2634" xr:uid="{A33A3556-6D8E-42D6-A775-C3A226D62D12}"/>
    <cellStyle name="RISKlandrEdge 2 2 2" xfId="6048" xr:uid="{02A2D21B-B832-4B17-B10A-42EDD5EA775B}"/>
    <cellStyle name="RISKlandrEdge 2 3" xfId="2635" xr:uid="{5DF33176-A495-4559-8B62-F8666D15E417}"/>
    <cellStyle name="RISKlandrEdge 2 3 2" xfId="6049" xr:uid="{ADB9AA10-4060-4336-AB4F-CBAE4DCF6AAA}"/>
    <cellStyle name="RISKlandrEdge 2 4" xfId="2636" xr:uid="{E2F5490A-2709-4AFE-A23A-2A8EF7C8A455}"/>
    <cellStyle name="RISKlandrEdge 2 4 2" xfId="6050" xr:uid="{89C752F7-695C-49A9-8409-1D0D71F1109D}"/>
    <cellStyle name="RISKlandrEdge 2 5" xfId="2637" xr:uid="{7D4FF666-A47A-4814-B450-6F53FD6F303F}"/>
    <cellStyle name="RISKlandrEdge 2 5 2" xfId="6051" xr:uid="{2C2E1824-D4D8-46A9-A8D9-25E5B3B82DB2}"/>
    <cellStyle name="RISKlandrEdge 2 6" xfId="2638" xr:uid="{2147FEB2-1BEE-469D-BA50-7AA21F125F86}"/>
    <cellStyle name="RISKlandrEdge 2 6 2" xfId="6052" xr:uid="{D34F9FA5-6E02-417E-A993-FC404294A702}"/>
    <cellStyle name="RISKlandrEdge 2 7" xfId="6053" xr:uid="{088F86E1-25AF-43E6-ABDF-F6F177D2585F}"/>
    <cellStyle name="RISKlandrEdge 3" xfId="2639" xr:uid="{594AE3B7-0B5E-4F0E-9CFD-C504E5323395}"/>
    <cellStyle name="RISKlandrEdge 3 2" xfId="2640" xr:uid="{65CD6F0A-F081-4EFD-B5CD-6F7FE5235C56}"/>
    <cellStyle name="RISKlandrEdge 3 2 2" xfId="6054" xr:uid="{10D96CB5-3D45-43A6-A35F-0D264F7B9A0A}"/>
    <cellStyle name="RISKlandrEdge 3 3" xfId="2641" xr:uid="{AC34CE27-A60B-4543-957A-D1D2DB91D674}"/>
    <cellStyle name="RISKlandrEdge 3 3 2" xfId="6055" xr:uid="{46FCA7DA-2531-4A61-9091-47C8A8AFD5B5}"/>
    <cellStyle name="RISKlandrEdge 3 4" xfId="2642" xr:uid="{51116868-9441-4C47-A9E5-8CF4BE168942}"/>
    <cellStyle name="RISKlandrEdge 3 4 2" xfId="6056" xr:uid="{7743654A-3416-4B16-A138-2F62277087F4}"/>
    <cellStyle name="RISKlandrEdge 3 5" xfId="2643" xr:uid="{2D02B987-6A8E-4C65-974F-48AF28566E16}"/>
    <cellStyle name="RISKlandrEdge 3 5 2" xfId="6057" xr:uid="{804F810A-ABF6-4141-8BE9-2887DFA18E62}"/>
    <cellStyle name="RISKlandrEdge 3 6" xfId="2644" xr:uid="{447CDC73-5265-4642-ABEE-E89168AFBF76}"/>
    <cellStyle name="RISKlandrEdge 3 6 2" xfId="6058" xr:uid="{41B3DC2D-D7BC-4DBA-9CCB-CF0359F1E173}"/>
    <cellStyle name="RISKlandrEdge 3 7" xfId="6059" xr:uid="{C634AC6A-9808-4E71-9A56-3ACAF5259A63}"/>
    <cellStyle name="RISKlandrEdge 4" xfId="2645" xr:uid="{24D4F78B-EB3A-41CD-88DE-BAEF8F1413C9}"/>
    <cellStyle name="RISKlandrEdge 4 2" xfId="2646" xr:uid="{C882535B-3BDC-4A0E-A52F-08CBBB9C4C4C}"/>
    <cellStyle name="RISKlandrEdge 4 2 2" xfId="6060" xr:uid="{3BBDCC54-AB40-403B-89A2-78FFAA091CC0}"/>
    <cellStyle name="RISKlandrEdge 4 3" xfId="2647" xr:uid="{8ADD35DA-2B95-411D-A240-9E26B53C0E52}"/>
    <cellStyle name="RISKlandrEdge 4 3 2" xfId="6061" xr:uid="{2977F24E-8083-42AB-BB28-05C77D0EF0D9}"/>
    <cellStyle name="RISKlandrEdge 4 4" xfId="2648" xr:uid="{78FAFC00-75CE-4DF7-8044-8DBFEBBD4863}"/>
    <cellStyle name="RISKlandrEdge 4 4 2" xfId="6062" xr:uid="{691262C1-0850-4D6F-AC5D-C7CCBDA3046A}"/>
    <cellStyle name="RISKlandrEdge 4 5" xfId="2649" xr:uid="{6E3776DC-A04E-4D07-B085-67EF5751B591}"/>
    <cellStyle name="RISKlandrEdge 4 5 2" xfId="6063" xr:uid="{D9C68EF3-C589-46E6-8D75-3156211CDADE}"/>
    <cellStyle name="RISKlandrEdge 4 6" xfId="2650" xr:uid="{0A71B590-36B1-4E8A-8793-D9FED1083AB7}"/>
    <cellStyle name="RISKlandrEdge 4 6 2" xfId="6064" xr:uid="{4A60D55A-094F-48E2-9D23-CA4368569490}"/>
    <cellStyle name="RISKlandrEdge 4 7" xfId="6065" xr:uid="{1D5298FD-659E-4DBD-854C-2D3DB18D8817}"/>
    <cellStyle name="RISKlandrEdge 5" xfId="6066" xr:uid="{800EBCE1-F5C5-4B25-A017-45CFD2506B6C}"/>
    <cellStyle name="RISKleftEdge" xfId="2651" xr:uid="{4F6BC3C2-FCFE-4AF1-B058-C48642D5016C}"/>
    <cellStyle name="RISKleftEdge 2" xfId="2652" xr:uid="{1226A26C-CE3C-4910-9E09-32F981CDB8D5}"/>
    <cellStyle name="RISKleftEdge 2 2" xfId="2653" xr:uid="{6EF6FA7D-8271-4080-8F3B-94112216DA44}"/>
    <cellStyle name="RISKleftEdge 2 2 2" xfId="6067" xr:uid="{C3397CD9-77C1-441A-B226-35A1558CE368}"/>
    <cellStyle name="RISKleftEdge 2 3" xfId="2654" xr:uid="{B630BE50-B3E5-4FAA-A651-40BEB5B9753D}"/>
    <cellStyle name="RISKleftEdge 2 3 2" xfId="6068" xr:uid="{F30D82A4-0A0A-4E12-A319-02AE4C388470}"/>
    <cellStyle name="RISKleftEdge 2 4" xfId="2655" xr:uid="{665C4EC0-B097-487C-85BE-18E5B0E8D4DD}"/>
    <cellStyle name="RISKleftEdge 2 4 2" xfId="6069" xr:uid="{2AAC1285-8874-4A32-B23D-CBC0125931E7}"/>
    <cellStyle name="RISKleftEdge 2 5" xfId="2656" xr:uid="{0E31612D-5DF1-43F1-8F92-0B00A48D8F1D}"/>
    <cellStyle name="RISKleftEdge 2 5 2" xfId="6070" xr:uid="{C96BB57D-C51F-40FC-A9E9-6CD341300412}"/>
    <cellStyle name="RISKleftEdge 2 6" xfId="2657" xr:uid="{70BDE6B8-F1E0-4F93-B8C5-8B48EEB5A4DB}"/>
    <cellStyle name="RISKleftEdge 2 6 2" xfId="6071" xr:uid="{ACB54A1F-2B47-4FA7-9E41-4929F798897C}"/>
    <cellStyle name="RISKleftEdge 2 7" xfId="6072" xr:uid="{054643E9-1FD9-4935-80CC-2E3A4C7F223A}"/>
    <cellStyle name="RISKleftEdge 3" xfId="2658" xr:uid="{4702700C-C1DC-45C2-A4C2-01BC1D015671}"/>
    <cellStyle name="RISKleftEdge 3 2" xfId="2659" xr:uid="{329A899D-46FB-4B17-9585-7499649B5BC8}"/>
    <cellStyle name="RISKleftEdge 3 2 2" xfId="6073" xr:uid="{8CCEC1AE-F983-446A-9C66-A1A3C6E73338}"/>
    <cellStyle name="RISKleftEdge 3 3" xfId="2660" xr:uid="{33C525FE-8942-447D-A4C5-2B5347B58F8D}"/>
    <cellStyle name="RISKleftEdge 3 3 2" xfId="6074" xr:uid="{1424FEFC-5F31-4F39-80F3-07CAFAB1CBE6}"/>
    <cellStyle name="RISKleftEdge 3 4" xfId="2661" xr:uid="{4B88618B-4E32-492B-8ED5-4D95BF91C2A1}"/>
    <cellStyle name="RISKleftEdge 3 4 2" xfId="6075" xr:uid="{2C20E471-5816-48DF-93F2-6C6CE646571F}"/>
    <cellStyle name="RISKleftEdge 3 5" xfId="2662" xr:uid="{E4421707-AA16-44A6-B60D-5BCD96CFF29E}"/>
    <cellStyle name="RISKleftEdge 3 5 2" xfId="6076" xr:uid="{ECC25641-B9BF-431B-8A05-13338D7A58BC}"/>
    <cellStyle name="RISKleftEdge 3 6" xfId="2663" xr:uid="{DAFB1880-7523-4E7F-A7AB-B4C505F1D661}"/>
    <cellStyle name="RISKleftEdge 3 6 2" xfId="6077" xr:uid="{1571E60C-BD50-46F2-8A71-23C011E85913}"/>
    <cellStyle name="RISKleftEdge 3 7" xfId="6078" xr:uid="{25947862-1F18-4B60-85C2-E8517C26FDE7}"/>
    <cellStyle name="RISKleftEdge 4" xfId="2664" xr:uid="{B6211474-008A-4D89-8C8A-2AF0D429FAD6}"/>
    <cellStyle name="RISKleftEdge 4 2" xfId="2665" xr:uid="{424CF68E-AA4A-448C-BFAF-72F31567B702}"/>
    <cellStyle name="RISKleftEdge 4 2 2" xfId="6079" xr:uid="{7FFD5591-D7B5-4165-B526-FBDC41949348}"/>
    <cellStyle name="RISKleftEdge 4 3" xfId="2666" xr:uid="{9A3AEACB-B1B3-4832-8E7D-CC614021CDAB}"/>
    <cellStyle name="RISKleftEdge 4 3 2" xfId="6080" xr:uid="{B50B6776-C8F9-444E-AF6A-C90A72DAE5A5}"/>
    <cellStyle name="RISKleftEdge 4 4" xfId="2667" xr:uid="{35ABE522-A5FD-448B-AA16-7CEC56268F3A}"/>
    <cellStyle name="RISKleftEdge 4 4 2" xfId="6081" xr:uid="{AC616A7B-7E0C-47B4-ACAB-240DBE562F42}"/>
    <cellStyle name="RISKleftEdge 4 5" xfId="2668" xr:uid="{3B0DFABD-F220-4FC3-B42F-171F0B2B7235}"/>
    <cellStyle name="RISKleftEdge 4 5 2" xfId="6082" xr:uid="{CAB2083B-8688-46D3-9076-49034AE3511C}"/>
    <cellStyle name="RISKleftEdge 4 6" xfId="2669" xr:uid="{1CAA79F0-3EAD-4C3B-BC53-55D6F01C45F2}"/>
    <cellStyle name="RISKleftEdge 4 6 2" xfId="6083" xr:uid="{F0D71655-BDF6-419D-BBB7-AF049F58A2A6}"/>
    <cellStyle name="RISKleftEdge 4 7" xfId="6084" xr:uid="{ED651C35-10D5-46CC-A42E-4CA506118B43}"/>
    <cellStyle name="RISKleftEdge 5" xfId="6085" xr:uid="{2B85DB04-A159-422A-A540-60FCEF238659}"/>
    <cellStyle name="RISKlightBoxed" xfId="2670" xr:uid="{0960BA09-7096-4CD0-94C4-09DD29BA650F}"/>
    <cellStyle name="RISKlightBoxed 2" xfId="2671" xr:uid="{DD651E07-A73A-4414-BFF8-328506B62A37}"/>
    <cellStyle name="RISKlightBoxed 2 2" xfId="2672" xr:uid="{4D392F77-197F-4198-8D44-2E14FD3F56BA}"/>
    <cellStyle name="RISKlightBoxed 2 2 2" xfId="2673" xr:uid="{5C8D4388-2EAB-49CB-9323-055FB54BDA46}"/>
    <cellStyle name="RISKlightBoxed 2 2 2 2" xfId="6086" xr:uid="{86752124-73A4-4D8F-9CAC-759B7D16BF1D}"/>
    <cellStyle name="RISKlightBoxed 2 2 3" xfId="6087" xr:uid="{C708EBC1-7F09-441B-9AE7-2210E900ADE3}"/>
    <cellStyle name="RISKlightBoxed 2 3" xfId="2674" xr:uid="{8A58F718-38B0-4F30-818A-D696E5BDD9D8}"/>
    <cellStyle name="RISKlightBoxed 2 3 2" xfId="2675" xr:uid="{26A19F76-F12D-46CD-992A-C8DD12E4D428}"/>
    <cellStyle name="RISKlightBoxed 2 3 2 2" xfId="6088" xr:uid="{66436CC1-A839-4F5C-AA44-F26C4F264433}"/>
    <cellStyle name="RISKlightBoxed 2 3 3" xfId="6089" xr:uid="{C37F52A2-E706-4984-A7A2-8E8BD14C7A7C}"/>
    <cellStyle name="RISKlightBoxed 2 4" xfId="2676" xr:uid="{CBAA52CD-FB99-4991-ADFF-68D3F2E2A6CE}"/>
    <cellStyle name="RISKlightBoxed 2 4 2" xfId="2677" xr:uid="{E097F906-4673-4C01-9808-0BC697D6F335}"/>
    <cellStyle name="RISKlightBoxed 2 4 2 2" xfId="6090" xr:uid="{93530B2D-5AC1-491D-AE1B-57FC99850103}"/>
    <cellStyle name="RISKlightBoxed 2 4 3" xfId="6091" xr:uid="{F7377FD6-2183-4CCD-9639-B85030011090}"/>
    <cellStyle name="RISKlightBoxed 2 5" xfId="2678" xr:uid="{705E37D4-735F-4F7E-8E24-AD45D8195F74}"/>
    <cellStyle name="RISKlightBoxed 2 5 2" xfId="6092" xr:uid="{698F81A1-2B0E-401A-B80E-A8DBA0A7C12A}"/>
    <cellStyle name="RISKlightBoxed 2 6" xfId="2679" xr:uid="{A96858FD-25FA-4E64-AF76-DE69716CC263}"/>
    <cellStyle name="RISKlightBoxed 2 6 2" xfId="6093" xr:uid="{92E12100-40F8-4F01-8196-A2A4C3478859}"/>
    <cellStyle name="RISKlightBoxed 2 7" xfId="6094" xr:uid="{F388AF12-5961-427C-B0DB-BAED8111E82E}"/>
    <cellStyle name="RISKlightBoxed 3" xfId="2680" xr:uid="{E34C272A-DA42-47DD-8168-6E90F0EE8B39}"/>
    <cellStyle name="RISKlightBoxed 3 2" xfId="2681" xr:uid="{11C0AA25-0A64-49CE-928B-1863772182A8}"/>
    <cellStyle name="RISKlightBoxed 3 2 2" xfId="2682" xr:uid="{C2736B19-6654-41F5-9097-7005AB85E04A}"/>
    <cellStyle name="RISKlightBoxed 3 2 2 2" xfId="6095" xr:uid="{450DCD48-8D52-4EE9-8F4B-D45B06351C20}"/>
    <cellStyle name="RISKlightBoxed 3 2 3" xfId="6096" xr:uid="{B1BC683C-CB58-40AC-9DC3-FAF4FD8690C1}"/>
    <cellStyle name="RISKlightBoxed 3 3" xfId="2683" xr:uid="{3AA3C167-7A62-48A4-9BC7-B5B21677CA4F}"/>
    <cellStyle name="RISKlightBoxed 3 3 2" xfId="2684" xr:uid="{77BBEE2D-422D-493D-A1D8-F868E53762F4}"/>
    <cellStyle name="RISKlightBoxed 3 3 2 2" xfId="6097" xr:uid="{83F1D784-1E04-4A16-8CD0-3AB6223635D4}"/>
    <cellStyle name="RISKlightBoxed 3 3 3" xfId="6098" xr:uid="{78D52B0A-8A4E-413A-B94B-81CFA97B7C4C}"/>
    <cellStyle name="RISKlightBoxed 3 4" xfId="2685" xr:uid="{FC3B6D08-3994-4831-B7FC-E21A5683AD04}"/>
    <cellStyle name="RISKlightBoxed 3 4 2" xfId="2686" xr:uid="{C36B6780-DD48-4BC1-8EB8-C9653705D83D}"/>
    <cellStyle name="RISKlightBoxed 3 4 2 2" xfId="6099" xr:uid="{676C6CBD-8ABF-47BB-BEB4-4314416FD752}"/>
    <cellStyle name="RISKlightBoxed 3 4 3" xfId="6100" xr:uid="{CD9FF75C-3375-491B-ABC0-55FD95B1119D}"/>
    <cellStyle name="RISKlightBoxed 3 5" xfId="2687" xr:uid="{29344EF3-CFA5-444D-9BAF-B8197A498C97}"/>
    <cellStyle name="RISKlightBoxed 3 5 2" xfId="6101" xr:uid="{39673009-CF46-4C86-94F7-3B535CCCAA2C}"/>
    <cellStyle name="RISKlightBoxed 3 6" xfId="2688" xr:uid="{F192A52A-538A-4B4A-8F31-4BBDB7A1E9B6}"/>
    <cellStyle name="RISKlightBoxed 3 6 2" xfId="6102" xr:uid="{06F4E8A6-6FC8-43DE-A9C3-1F44E999506E}"/>
    <cellStyle name="RISKlightBoxed 3 7" xfId="6103" xr:uid="{23539F7B-9E0D-4F16-A1EA-A1B7E0456195}"/>
    <cellStyle name="RISKlightBoxed 4" xfId="2689" xr:uid="{4301E9A2-48A8-4EED-AA98-D83ECFD01A30}"/>
    <cellStyle name="RISKlightBoxed 4 2" xfId="2690" xr:uid="{619E0619-5ABB-4F6F-A31E-D780B4F628D5}"/>
    <cellStyle name="RISKlightBoxed 4 2 2" xfId="2691" xr:uid="{1FAD6A46-010B-4409-9E7E-F56D00B47C53}"/>
    <cellStyle name="RISKlightBoxed 4 2 2 2" xfId="6104" xr:uid="{C9642F05-12A6-46E7-B40C-27E0FF836E1B}"/>
    <cellStyle name="RISKlightBoxed 4 2 3" xfId="6105" xr:uid="{98C1A611-0E7A-432F-9C7B-E3DAAC575947}"/>
    <cellStyle name="RISKlightBoxed 4 3" xfId="2692" xr:uid="{20E926A1-715E-434F-A262-0A36467290A2}"/>
    <cellStyle name="RISKlightBoxed 4 3 2" xfId="2693" xr:uid="{6FD1A534-3394-4553-AAC4-EE6C9318A531}"/>
    <cellStyle name="RISKlightBoxed 4 3 2 2" xfId="6106" xr:uid="{E26C5F31-33D0-405E-B214-7824D7D02FD8}"/>
    <cellStyle name="RISKlightBoxed 4 3 3" xfId="6107" xr:uid="{15FB1F48-3954-4D19-AB78-89E75EDAF8FC}"/>
    <cellStyle name="RISKlightBoxed 4 4" xfId="2694" xr:uid="{0DCEC4BA-DA8E-476B-857A-605E376ECFF8}"/>
    <cellStyle name="RISKlightBoxed 4 4 2" xfId="2695" xr:uid="{08210F1B-D8DC-48C0-9A79-D7A782BC8438}"/>
    <cellStyle name="RISKlightBoxed 4 4 2 2" xfId="6108" xr:uid="{8E204C53-7BD2-4C0B-BFB7-3020CA205A07}"/>
    <cellStyle name="RISKlightBoxed 4 4 3" xfId="6109" xr:uid="{6D2AF0F1-4854-465E-A658-85669AB14030}"/>
    <cellStyle name="RISKlightBoxed 4 5" xfId="2696" xr:uid="{3101CFE7-487C-4331-8C2B-D5B85229C4F7}"/>
    <cellStyle name="RISKlightBoxed 4 5 2" xfId="6110" xr:uid="{C2B10474-37D7-4989-ABCD-B8F650731A47}"/>
    <cellStyle name="RISKlightBoxed 4 6" xfId="2697" xr:uid="{6CBF147D-CA5C-4589-B54E-D44DDBA7A14E}"/>
    <cellStyle name="RISKlightBoxed 4 6 2" xfId="6111" xr:uid="{BD452EE5-9752-4D40-8D60-0BDDEA95E91E}"/>
    <cellStyle name="RISKlightBoxed 4 7" xfId="6112" xr:uid="{8BAE0810-49DC-40A4-9F0B-BDDB7E5A450D}"/>
    <cellStyle name="RISKlightBoxed 5" xfId="2698" xr:uid="{CF75CAE2-372E-417A-BA8A-E6597453E1DB}"/>
    <cellStyle name="RISKlightBoxed 5 2" xfId="6113" xr:uid="{044741AF-FE34-4015-B834-04838A31F36F}"/>
    <cellStyle name="RISKlightBoxed 6" xfId="2699" xr:uid="{4CD24495-7A7F-468E-BD56-FE952AE52C27}"/>
    <cellStyle name="RISKlightBoxed 6 2" xfId="6114" xr:uid="{472EAB06-1CCA-44AB-9403-5ACCA3D33819}"/>
    <cellStyle name="RISKlightBoxed 7" xfId="2700" xr:uid="{C899DBFD-AECB-40CA-A6FC-D027097CA8AE}"/>
    <cellStyle name="RISKlightBoxed 7 2" xfId="6115" xr:uid="{3A34FF25-AD77-4AC7-BEC0-8C854C31E8CF}"/>
    <cellStyle name="RISKlightBoxed 8" xfId="6116" xr:uid="{6D9BF7CE-49AF-48AC-BCCB-47FF580C81A0}"/>
    <cellStyle name="RISKlightBoxed_Información relacionada" xfId="2701" xr:uid="{5C68AAE4-D128-4DBA-9B3C-705C200C7E7B}"/>
    <cellStyle name="RISKltandbEdge" xfId="2702" xr:uid="{DDA8645A-9126-463E-B31D-C65736720DA3}"/>
    <cellStyle name="RISKltandbEdge 2" xfId="2703" xr:uid="{695DA1A2-F9DA-4B16-8A93-81D79923E2DB}"/>
    <cellStyle name="RISKltandbEdge 2 2" xfId="2704" xr:uid="{1AE4455F-2944-4ABE-B6F7-7D7EEEA183ED}"/>
    <cellStyle name="RISKltandbEdge 2 2 2" xfId="2705" xr:uid="{295128E4-444E-4A70-81EC-B017BAEB5461}"/>
    <cellStyle name="RISKltandbEdge 2 2 2 2" xfId="6117" xr:uid="{2165BB10-4B57-4667-84C5-C11A879490A7}"/>
    <cellStyle name="RISKltandbEdge 2 2 3" xfId="6118" xr:uid="{4ADCBFE6-AF56-451D-994B-7F3AF039879B}"/>
    <cellStyle name="RISKltandbEdge 2 3" xfId="2706" xr:uid="{4DBC9166-3CFA-4A16-9EBE-B7948B9B06D2}"/>
    <cellStyle name="RISKltandbEdge 2 3 2" xfId="2707" xr:uid="{5A06E96F-2086-41EA-A0D5-E255CB22784C}"/>
    <cellStyle name="RISKltandbEdge 2 3 2 2" xfId="6119" xr:uid="{8C9C0A0E-6301-4BA5-9C4A-6C56021C47E0}"/>
    <cellStyle name="RISKltandbEdge 2 3 3" xfId="6120" xr:uid="{74E2AB06-C02B-4B31-A582-D04AEDF60944}"/>
    <cellStyle name="RISKltandbEdge 2 4" xfId="2708" xr:uid="{D7DC8F7C-1DDE-469C-92B7-99CF94AE728C}"/>
    <cellStyle name="RISKltandbEdge 2 4 2" xfId="2709" xr:uid="{18ABC6ED-A94F-433D-ACF4-C1E16577E62C}"/>
    <cellStyle name="RISKltandbEdge 2 4 2 2" xfId="6121" xr:uid="{ACCDEA3A-6191-4BFC-BFCC-9A716E79894C}"/>
    <cellStyle name="RISKltandbEdge 2 4 3" xfId="6122" xr:uid="{DD4A43A4-B676-445D-9AB0-72EC06C5E67F}"/>
    <cellStyle name="RISKltandbEdge 2 5" xfId="2710" xr:uid="{2B55EC13-175A-4A64-AAA7-FAF52D1F588A}"/>
    <cellStyle name="RISKltandbEdge 2 5 2" xfId="6123" xr:uid="{821A82B6-7010-4448-A244-EDDB413E75D9}"/>
    <cellStyle name="RISKltandbEdge 2 6" xfId="2711" xr:uid="{784248F8-0BA8-4FD1-8BB5-33A098F479A5}"/>
    <cellStyle name="RISKltandbEdge 2 6 2" xfId="6124" xr:uid="{913E53DB-C49E-4F9B-8416-0B5B04C3D578}"/>
    <cellStyle name="RISKltandbEdge 2 7" xfId="6125" xr:uid="{2E298695-5B67-40BF-9FF8-3C6E644405B0}"/>
    <cellStyle name="RISKltandbEdge 3" xfId="2712" xr:uid="{EE0F9C40-FA81-46E6-A416-B2DE996F2B9D}"/>
    <cellStyle name="RISKltandbEdge 3 2" xfId="2713" xr:uid="{B872C34E-68A5-4203-9A59-7D5830E5E669}"/>
    <cellStyle name="RISKltandbEdge 3 2 2" xfId="2714" xr:uid="{890FE095-4EB9-48AA-A1DA-F53ECC52276F}"/>
    <cellStyle name="RISKltandbEdge 3 2 2 2" xfId="6126" xr:uid="{E199E17C-967A-4DB8-8F7D-73E49BB78BD4}"/>
    <cellStyle name="RISKltandbEdge 3 2 3" xfId="6127" xr:uid="{EFE43784-803D-473C-B67E-EF7B52B1A07D}"/>
    <cellStyle name="RISKltandbEdge 3 3" xfId="2715" xr:uid="{BA175FFF-4F75-4A91-BD50-0606CAD7F2D4}"/>
    <cellStyle name="RISKltandbEdge 3 3 2" xfId="2716" xr:uid="{9A690B55-AC29-4CEF-886D-248F50719C10}"/>
    <cellStyle name="RISKltandbEdge 3 3 2 2" xfId="6128" xr:uid="{47138D97-1089-435E-A5C0-84DB3FCD6935}"/>
    <cellStyle name="RISKltandbEdge 3 3 3" xfId="6129" xr:uid="{D3980DC0-83CF-4FCD-9E6C-B9BD8C783685}"/>
    <cellStyle name="RISKltandbEdge 3 4" xfId="2717" xr:uid="{B7757F4F-F9EC-4CC2-80A8-C7CD9B636935}"/>
    <cellStyle name="RISKltandbEdge 3 4 2" xfId="2718" xr:uid="{6BE2E389-37DB-44DD-8C87-825342F2C962}"/>
    <cellStyle name="RISKltandbEdge 3 4 2 2" xfId="6130" xr:uid="{D9A82362-BF84-4F06-A675-D4D89EBD7070}"/>
    <cellStyle name="RISKltandbEdge 3 4 3" xfId="6131" xr:uid="{263DA8E2-5128-4394-A881-B9C7662473FF}"/>
    <cellStyle name="RISKltandbEdge 3 5" xfId="2719" xr:uid="{0EDAA54B-A932-430A-9613-1A276AFBE003}"/>
    <cellStyle name="RISKltandbEdge 3 5 2" xfId="6132" xr:uid="{32B1519A-FFDA-4E42-AA16-96AD5ED7BE18}"/>
    <cellStyle name="RISKltandbEdge 3 6" xfId="2720" xr:uid="{DC10B19B-6783-48C4-8CD8-7E293113199F}"/>
    <cellStyle name="RISKltandbEdge 3 6 2" xfId="6133" xr:uid="{24F73C18-1376-4E39-9073-AED7883AA3B3}"/>
    <cellStyle name="RISKltandbEdge 3 7" xfId="6134" xr:uid="{694B5641-13CC-4D1F-BA1B-B7DD101C1175}"/>
    <cellStyle name="RISKltandbEdge 4" xfId="2721" xr:uid="{7727058F-7833-4F89-A6C0-77CCF88C1177}"/>
    <cellStyle name="RISKltandbEdge 4 2" xfId="2722" xr:uid="{EF9752B9-BBA3-4FA7-B3A9-F94D6AC66E12}"/>
    <cellStyle name="RISKltandbEdge 4 2 2" xfId="2723" xr:uid="{79868369-6511-427D-B126-BE43D647232A}"/>
    <cellStyle name="RISKltandbEdge 4 2 2 2" xfId="6135" xr:uid="{AE606CB3-5284-4E22-AEAE-D7C917AD4C2E}"/>
    <cellStyle name="RISKltandbEdge 4 2 3" xfId="6136" xr:uid="{A066EAD4-D775-4AA8-B7CE-A0C6CEB682F7}"/>
    <cellStyle name="RISKltandbEdge 4 3" xfId="2724" xr:uid="{F116D8E6-A67F-4A59-BB61-4BAB22E5B603}"/>
    <cellStyle name="RISKltandbEdge 4 3 2" xfId="2725" xr:uid="{1CB55C3B-6D26-4C28-8C5E-93DD9084ECC5}"/>
    <cellStyle name="RISKltandbEdge 4 3 2 2" xfId="6137" xr:uid="{775B552C-9A53-45F4-9D5A-231ADC17FAE5}"/>
    <cellStyle name="RISKltandbEdge 4 3 3" xfId="6138" xr:uid="{F604142F-9140-4C01-BBD6-24BC7FE7F893}"/>
    <cellStyle name="RISKltandbEdge 4 4" xfId="2726" xr:uid="{6CF01DDB-391A-42A8-ABB5-CB7789877A29}"/>
    <cellStyle name="RISKltandbEdge 4 4 2" xfId="2727" xr:uid="{1D52B7F3-AB5F-4BFC-9D72-38053F04F83B}"/>
    <cellStyle name="RISKltandbEdge 4 4 2 2" xfId="6139" xr:uid="{7B523C5E-F8D5-4ADE-A02D-416241D25205}"/>
    <cellStyle name="RISKltandbEdge 4 4 3" xfId="6140" xr:uid="{6965379D-D298-483C-88DF-63AE4083BD93}"/>
    <cellStyle name="RISKltandbEdge 4 5" xfId="2728" xr:uid="{4405B70F-5CA2-45D9-8469-BF79B6A968B3}"/>
    <cellStyle name="RISKltandbEdge 4 5 2" xfId="6141" xr:uid="{C6BA2260-CB5A-40EB-AF9F-BD2555E2649A}"/>
    <cellStyle name="RISKltandbEdge 4 6" xfId="2729" xr:uid="{C78A0396-9F4E-44E3-8A34-2CDBE87AF1F3}"/>
    <cellStyle name="RISKltandbEdge 4 6 2" xfId="6142" xr:uid="{3E5CF0DB-88E5-4D06-A90F-304DCB39E54A}"/>
    <cellStyle name="RISKltandbEdge 4 7" xfId="6143" xr:uid="{1DA97EAA-BF47-433C-A22B-669D42E67F6F}"/>
    <cellStyle name="RISKltandbEdge 5" xfId="2730" xr:uid="{F953E28B-D290-4559-9CA3-7DF8AA319AFE}"/>
    <cellStyle name="RISKltandbEdge 5 2" xfId="6144" xr:uid="{EFB3C069-EC92-4316-8D78-D2F04DCD4984}"/>
    <cellStyle name="RISKltandbEdge 6" xfId="2731" xr:uid="{B3A55BA9-85DE-4ECA-B77E-64492A0CCEDC}"/>
    <cellStyle name="RISKltandbEdge 6 2" xfId="6145" xr:uid="{1C6C4A02-0934-4B7A-9C39-34755C62D375}"/>
    <cellStyle name="RISKltandbEdge 7" xfId="2732" xr:uid="{F8FC1D17-3F09-4641-93E5-C5EE04988556}"/>
    <cellStyle name="RISKltandbEdge 7 2" xfId="6146" xr:uid="{D1879229-80A1-477C-908E-8A923532AA4F}"/>
    <cellStyle name="RISKltandbEdge 8" xfId="6147" xr:uid="{FCB2D660-ACE6-4CF9-8041-70F9CAFAC547}"/>
    <cellStyle name="RISKltandbEdge_PyG" xfId="2733" xr:uid="{65FFC24D-63CB-4D95-82D0-77224CB3423D}"/>
    <cellStyle name="RISKnormBoxed" xfId="2734" xr:uid="{AB8486AA-6875-4102-B5FD-6C5866D1592D}"/>
    <cellStyle name="RISKnormBoxed 2" xfId="2735" xr:uid="{C8DDC618-AD85-44EB-8BBF-006CA545FCF1}"/>
    <cellStyle name="RISKnormBoxed 2 2" xfId="2736" xr:uid="{A3FAAA61-F85D-444C-B465-8A62D0920818}"/>
    <cellStyle name="RISKnormBoxed 2 2 2" xfId="2737" xr:uid="{0BBD47F3-742A-44B4-A6C8-7F2DCB978D27}"/>
    <cellStyle name="RISKnormBoxed 2 2 2 2" xfId="6148" xr:uid="{B653E79D-5B76-4356-B345-3E28BF76CD39}"/>
    <cellStyle name="RISKnormBoxed 2 2 3" xfId="6149" xr:uid="{F471083D-A4CA-4D88-89F5-56C124D30476}"/>
    <cellStyle name="RISKnormBoxed 2 3" xfId="2738" xr:uid="{DD3E7B08-56E1-472A-AD94-D416DDEEC114}"/>
    <cellStyle name="RISKnormBoxed 2 3 2" xfId="2739" xr:uid="{4E798337-2456-4163-9545-1ABECF1E1AC4}"/>
    <cellStyle name="RISKnormBoxed 2 3 2 2" xfId="6150" xr:uid="{20A6E84C-2FB5-4460-B292-F7D85BE42D21}"/>
    <cellStyle name="RISKnormBoxed 2 3 3" xfId="6151" xr:uid="{98564338-3D51-49AE-81D1-6CF891908854}"/>
    <cellStyle name="RISKnormBoxed 2 4" xfId="2740" xr:uid="{309AC56D-764E-489B-8BC7-DFCCE0C15B19}"/>
    <cellStyle name="RISKnormBoxed 2 4 2" xfId="2741" xr:uid="{F4E9C48A-7D60-4ED1-B063-A02A26BD44D8}"/>
    <cellStyle name="RISKnormBoxed 2 4 2 2" xfId="6152" xr:uid="{3961AD19-D473-4E7D-832B-D97605FC7A84}"/>
    <cellStyle name="RISKnormBoxed 2 4 3" xfId="6153" xr:uid="{57EBBD1C-2924-4CFD-B3C4-9AE4C5D74773}"/>
    <cellStyle name="RISKnormBoxed 2 5" xfId="2742" xr:uid="{8161C6B8-750C-4031-93E4-9C0C6E148C71}"/>
    <cellStyle name="RISKnormBoxed 2 5 2" xfId="6154" xr:uid="{3B5B3BC8-C0B6-4C18-A686-681218FB02D8}"/>
    <cellStyle name="RISKnormBoxed 2 6" xfId="2743" xr:uid="{133A473C-3C61-4C9F-8409-A8C2FD347FEF}"/>
    <cellStyle name="RISKnormBoxed 2 6 2" xfId="6155" xr:uid="{C2289ACB-459D-4393-A9D6-015A2AD505DE}"/>
    <cellStyle name="RISKnormBoxed 2 7" xfId="6156" xr:uid="{76569669-0F5E-4622-A4D2-0A4BA1A3CD75}"/>
    <cellStyle name="RISKnormBoxed 3" xfId="2744" xr:uid="{76290123-8C6B-428A-BAD2-A4F6E4E517BD}"/>
    <cellStyle name="RISKnormBoxed 3 2" xfId="2745" xr:uid="{864CA68B-3A7E-4606-8229-E559F8D4F3EC}"/>
    <cellStyle name="RISKnormBoxed 3 2 2" xfId="2746" xr:uid="{3E4C17F6-C4EF-45F2-A33E-0CCAF2C252B3}"/>
    <cellStyle name="RISKnormBoxed 3 2 2 2" xfId="6157" xr:uid="{C91A888F-E001-4AD2-AB44-73832E82F9AC}"/>
    <cellStyle name="RISKnormBoxed 3 2 3" xfId="6158" xr:uid="{C4587D01-6296-437C-87E8-27B0219F92A1}"/>
    <cellStyle name="RISKnormBoxed 3 3" xfId="2747" xr:uid="{9606662D-93C8-4A83-A252-3DB98FBFCAAA}"/>
    <cellStyle name="RISKnormBoxed 3 3 2" xfId="2748" xr:uid="{0CA6449A-F68A-47AE-A0FC-BD5D7F239338}"/>
    <cellStyle name="RISKnormBoxed 3 3 2 2" xfId="6159" xr:uid="{B5FA5226-B39D-4862-9129-28B2BB7D6BDE}"/>
    <cellStyle name="RISKnormBoxed 3 3 3" xfId="6160" xr:uid="{87378A84-6208-4A72-A832-F19F0FC9DE69}"/>
    <cellStyle name="RISKnormBoxed 3 4" xfId="2749" xr:uid="{0896AFB6-59F1-4E50-80C2-25DBD9403C35}"/>
    <cellStyle name="RISKnormBoxed 3 4 2" xfId="2750" xr:uid="{0CF7893B-D522-438E-BE27-FFF9B2B340FD}"/>
    <cellStyle name="RISKnormBoxed 3 4 2 2" xfId="6161" xr:uid="{D15A97B9-0E80-4996-8EC4-283695314510}"/>
    <cellStyle name="RISKnormBoxed 3 4 3" xfId="6162" xr:uid="{37231B72-AA85-4286-80AA-28932743DA2C}"/>
    <cellStyle name="RISKnormBoxed 3 5" xfId="2751" xr:uid="{1A9FF45E-A629-4CFC-8CD1-02EED169B9BD}"/>
    <cellStyle name="RISKnormBoxed 3 5 2" xfId="6163" xr:uid="{6401AAE2-AFF0-4087-8B13-338313155309}"/>
    <cellStyle name="RISKnormBoxed 3 6" xfId="2752" xr:uid="{3BC4A166-D043-46CE-9D57-DB2992A0CE9F}"/>
    <cellStyle name="RISKnormBoxed 3 6 2" xfId="6164" xr:uid="{1BBB972A-4717-45B7-A31C-B891D7446C0A}"/>
    <cellStyle name="RISKnormBoxed 3 7" xfId="6165" xr:uid="{B71EAE80-148C-4B3F-81CB-B4F163F2BF55}"/>
    <cellStyle name="RISKnormBoxed 4" xfId="2753" xr:uid="{B8F75B84-7ABC-4F53-9C5C-C0D40BD68486}"/>
    <cellStyle name="RISKnormBoxed 4 2" xfId="2754" xr:uid="{0C465C05-0DA5-4685-AE78-E23362F0F2D3}"/>
    <cellStyle name="RISKnormBoxed 4 2 2" xfId="2755" xr:uid="{62DB2CAC-0587-4383-8E77-A13CA26BB24A}"/>
    <cellStyle name="RISKnormBoxed 4 2 2 2" xfId="6166" xr:uid="{33A299EB-902A-4404-B108-B0A0FC0E761A}"/>
    <cellStyle name="RISKnormBoxed 4 2 3" xfId="6167" xr:uid="{DD29F9B3-538C-481A-A2BC-3312DC7B4772}"/>
    <cellStyle name="RISKnormBoxed 4 3" xfId="2756" xr:uid="{1FDA041D-4EC3-49FD-ACA9-52F6EFF9988F}"/>
    <cellStyle name="RISKnormBoxed 4 3 2" xfId="2757" xr:uid="{BE1FB552-DE5E-437F-A97E-7C71B344CC5A}"/>
    <cellStyle name="RISKnormBoxed 4 3 2 2" xfId="6168" xr:uid="{06032C44-1388-4944-938F-322D5FC62671}"/>
    <cellStyle name="RISKnormBoxed 4 3 3" xfId="6169" xr:uid="{74C903B7-FE6C-4638-9441-31A5A27F502B}"/>
    <cellStyle name="RISKnormBoxed 4 4" xfId="2758" xr:uid="{2D299888-FFDE-4E21-8BAD-F427EEABAE42}"/>
    <cellStyle name="RISKnormBoxed 4 4 2" xfId="2759" xr:uid="{EA5D6D6D-C1BD-4AC3-9F0F-8F3BC80FF6A2}"/>
    <cellStyle name="RISKnormBoxed 4 4 2 2" xfId="6170" xr:uid="{27551610-C911-4C4E-BC72-0AF7CB8D99C9}"/>
    <cellStyle name="RISKnormBoxed 4 4 3" xfId="6171" xr:uid="{FEF65378-1EF9-4058-9967-BCC5A2089573}"/>
    <cellStyle name="RISKnormBoxed 4 5" xfId="2760" xr:uid="{188C7523-FBA8-4E15-BA30-58E134EC803E}"/>
    <cellStyle name="RISKnormBoxed 4 5 2" xfId="6172" xr:uid="{591D5921-6D8E-48F3-8D23-077ECF17E716}"/>
    <cellStyle name="RISKnormBoxed 4 6" xfId="2761" xr:uid="{988CBCCA-658D-4CFF-85EA-9B952C690049}"/>
    <cellStyle name="RISKnormBoxed 4 6 2" xfId="6173" xr:uid="{9A7671D5-9CFF-40E1-B9E1-1D86E1AC5ABD}"/>
    <cellStyle name="RISKnormBoxed 4 7" xfId="6174" xr:uid="{3CAAFB3D-D5C1-47EF-BA4E-A7964FD26A13}"/>
    <cellStyle name="RISKnormBoxed 5" xfId="2762" xr:uid="{F87F27A3-5CEB-47F2-8CB0-D9CDE2119BC3}"/>
    <cellStyle name="RISKnormBoxed 5 2" xfId="6175" xr:uid="{596A74BA-2E48-4E81-981D-62BEA80E5CC8}"/>
    <cellStyle name="RISKnormBoxed 6" xfId="2763" xr:uid="{4DFC563D-324F-4C7E-BE44-386137C977CE}"/>
    <cellStyle name="RISKnormBoxed 6 2" xfId="6176" xr:uid="{90B55D14-560E-4D79-947A-587536B5E844}"/>
    <cellStyle name="RISKnormBoxed 7" xfId="2764" xr:uid="{FD9BA4B2-5001-46E0-AD2F-4DB62B6AEB65}"/>
    <cellStyle name="RISKnormBoxed 7 2" xfId="6177" xr:uid="{EA10F72F-EFE1-45BA-B578-4FA58B27CD2B}"/>
    <cellStyle name="RISKnormBoxed 8" xfId="6178" xr:uid="{D547286E-682A-4008-8CED-41FB8F0112FB}"/>
    <cellStyle name="RISKnormBoxed_Información relacionada" xfId="2765" xr:uid="{F7F3697F-1548-46BB-9D39-E3F032475F69}"/>
    <cellStyle name="RISKnormCenter" xfId="2766" xr:uid="{031097B8-E3FC-461E-B6A5-0625610E6E83}"/>
    <cellStyle name="RISKnormCenter 2" xfId="2767" xr:uid="{4BB776B7-549C-4C43-AABD-4D543C088A32}"/>
    <cellStyle name="RISKnormCenter 2 2" xfId="2768" xr:uid="{7B98B38C-8428-41A0-99B0-F4DD75ADB38A}"/>
    <cellStyle name="RISKnormCenter 2 2 2" xfId="6179" xr:uid="{A36810C8-4DDF-489F-A570-644F5C524A10}"/>
    <cellStyle name="RISKnormCenter 2 3" xfId="2769" xr:uid="{0A606686-3990-48B2-99FC-B3A8EE441FCB}"/>
    <cellStyle name="RISKnormCenter 2 3 2" xfId="6180" xr:uid="{D6735869-1718-4B2A-926D-F81F0030434C}"/>
    <cellStyle name="RISKnormCenter 2 4" xfId="2770" xr:uid="{21DBBE38-38F1-4052-95F9-8A5AA39D4295}"/>
    <cellStyle name="RISKnormCenter 2 4 2" xfId="6181" xr:uid="{E75F999E-A16D-4B78-97E2-B681ECD25C6B}"/>
    <cellStyle name="RISKnormCenter 2 5" xfId="2771" xr:uid="{840D735A-2F28-43E2-90C4-18FDFC68564A}"/>
    <cellStyle name="RISKnormCenter 2 5 2" xfId="6182" xr:uid="{26AE7FBE-B818-40E0-9CC0-D9B2563BC98F}"/>
    <cellStyle name="RISKnormCenter 2 6" xfId="2772" xr:uid="{19682C18-7F92-412F-AED2-21637037B6E3}"/>
    <cellStyle name="RISKnormCenter 2 6 2" xfId="6183" xr:uid="{EA6B8528-EC0E-4CB0-9FC9-595B22899236}"/>
    <cellStyle name="RISKnormCenter 2 7" xfId="6184" xr:uid="{79190914-0656-40A8-BAC4-B79E1FEB2960}"/>
    <cellStyle name="RISKnormCenter 3" xfId="2773" xr:uid="{AE2D34A3-CED0-4B1F-BAAD-9C23743104E8}"/>
    <cellStyle name="RISKnormCenter 3 2" xfId="2774" xr:uid="{7A474DD0-7C1D-4DDB-B5A6-691AF37C12B1}"/>
    <cellStyle name="RISKnormCenter 3 2 2" xfId="6185" xr:uid="{9C530E25-626A-4A90-A64F-B72CD89A4F4D}"/>
    <cellStyle name="RISKnormCenter 3 3" xfId="2775" xr:uid="{EBB09D62-E92E-41C1-975C-D49B702BD7C9}"/>
    <cellStyle name="RISKnormCenter 3 3 2" xfId="6186" xr:uid="{09E6DB41-88FD-4CB6-84FF-FE3D22539C02}"/>
    <cellStyle name="RISKnormCenter 3 4" xfId="2776" xr:uid="{90310779-051C-4629-88A4-14C9352D5D67}"/>
    <cellStyle name="RISKnormCenter 3 4 2" xfId="6187" xr:uid="{9103365F-6982-4551-BCE3-076C1B31CC30}"/>
    <cellStyle name="RISKnormCenter 3 5" xfId="2777" xr:uid="{EF4F97C7-17CB-496E-89A0-5184D6D852EB}"/>
    <cellStyle name="RISKnormCenter 3 5 2" xfId="6188" xr:uid="{3CA9074B-7ACA-42F9-801F-8496FF8149EF}"/>
    <cellStyle name="RISKnormCenter 3 6" xfId="2778" xr:uid="{A9CC5123-5D4C-4AFF-A0CC-9F701508914C}"/>
    <cellStyle name="RISKnormCenter 3 6 2" xfId="6189" xr:uid="{B2A64C70-3C9F-43BA-A8C2-4331EF3E18B8}"/>
    <cellStyle name="RISKnormCenter 3 7" xfId="6190" xr:uid="{87768926-F823-4AB5-8954-4B02EBFB56CA}"/>
    <cellStyle name="RISKnormCenter 4" xfId="2779" xr:uid="{FF71E35F-199B-45B5-B2E4-022476483E00}"/>
    <cellStyle name="RISKnormCenter 4 2" xfId="2780" xr:uid="{54A42A4A-CC87-4E8A-8401-3DCA2167FB04}"/>
    <cellStyle name="RISKnormCenter 4 2 2" xfId="6191" xr:uid="{0FC250BA-775F-423D-8D47-71501B20B164}"/>
    <cellStyle name="RISKnormCenter 4 3" xfId="2781" xr:uid="{0252C4FF-AC88-45A2-93EB-9E1340B9F17B}"/>
    <cellStyle name="RISKnormCenter 4 3 2" xfId="6192" xr:uid="{3509555E-C39A-417C-A6D7-AF9703C2514D}"/>
    <cellStyle name="RISKnormCenter 4 4" xfId="2782" xr:uid="{360A2169-534D-4443-AE77-CC7469F6206E}"/>
    <cellStyle name="RISKnormCenter 4 4 2" xfId="6193" xr:uid="{B980BBD3-23A6-4655-8B95-5170B2E5ECDD}"/>
    <cellStyle name="RISKnormCenter 4 5" xfId="2783" xr:uid="{F791D856-AD8C-4CA3-8EB3-63CBA5D77EB9}"/>
    <cellStyle name="RISKnormCenter 4 5 2" xfId="6194" xr:uid="{07F34C4A-1EE6-4A9C-950C-169CD9C3903B}"/>
    <cellStyle name="RISKnormCenter 4 6" xfId="2784" xr:uid="{A10EEF30-B40B-4106-A5B7-39934654CB9B}"/>
    <cellStyle name="RISKnormCenter 4 6 2" xfId="6195" xr:uid="{EA0440FB-C5F8-4C2F-A79C-4F39922E5F66}"/>
    <cellStyle name="RISKnormCenter 4 7" xfId="6196" xr:uid="{240D8647-ADFA-491C-BB8C-3C7719BBF496}"/>
    <cellStyle name="RISKnormCenter 5" xfId="6197" xr:uid="{E489D7CD-E7E4-4708-8359-18CFE580950B}"/>
    <cellStyle name="RISKnormHeading" xfId="2785" xr:uid="{80B1F205-8D38-495D-9282-A763D0A09E16}"/>
    <cellStyle name="RISKnormHeading 2" xfId="2786" xr:uid="{FA8C8F4E-984B-487D-8D56-A004838C2717}"/>
    <cellStyle name="RISKnormHeading 2 2" xfId="2787" xr:uid="{CE96275E-9D88-4F54-A32C-078CFE0F9F01}"/>
    <cellStyle name="RISKnormHeading 2 3" xfId="2788" xr:uid="{FC5F8C29-3FF8-4A24-956D-AACE44F4FB47}"/>
    <cellStyle name="RISKnormHeading 2 4" xfId="2789" xr:uid="{42D8A0DF-5B2E-42CF-8CF5-B3D8CF87820C}"/>
    <cellStyle name="RISKnormHeading 2 5" xfId="2790" xr:uid="{0BC87628-1518-4D74-A82D-CA3975D50514}"/>
    <cellStyle name="RISKnormHeading 2 6" xfId="2791" xr:uid="{BDCAE791-B926-4FB3-BBE3-8DAEF58C4D7B}"/>
    <cellStyle name="RISKnormHeading 2_ActiFijos" xfId="2792" xr:uid="{AB159135-9D42-4EE4-8C64-BDACFACAB863}"/>
    <cellStyle name="RISKnormHeading 3" xfId="2793" xr:uid="{DB8DFC5E-FE32-4064-8BB1-F361C221F817}"/>
    <cellStyle name="RISKnormHeading 3 2" xfId="2794" xr:uid="{A1A417A3-D665-494C-8988-1DFFD94A524E}"/>
    <cellStyle name="RISKnormHeading 3 3" xfId="2795" xr:uid="{01DDBDF2-E451-4A74-8F92-46BCDDFB13E3}"/>
    <cellStyle name="RISKnormHeading 3 4" xfId="2796" xr:uid="{8AEF7CE1-D884-49D9-AF54-6FEF4E55F419}"/>
    <cellStyle name="RISKnormHeading 3 5" xfId="2797" xr:uid="{B6A1423C-8DC6-4D45-A6A3-55EBCEF55163}"/>
    <cellStyle name="RISKnormHeading 3 6" xfId="2798" xr:uid="{E13B8582-83C6-42CB-9E1F-B89199159FEA}"/>
    <cellStyle name="RISKnormHeading 3_ActiFijos" xfId="2799" xr:uid="{91A9007F-2F89-4DF5-A041-5D2B52B69924}"/>
    <cellStyle name="RISKnormHeading 4" xfId="2800" xr:uid="{9D4E80F7-CF02-4140-A2E7-08161C4EBD8B}"/>
    <cellStyle name="RISKnormHeading 4 2" xfId="2801" xr:uid="{5C60294E-D039-482A-8A58-5716E6E030EC}"/>
    <cellStyle name="RISKnormHeading 4 3" xfId="2802" xr:uid="{D60E01C2-F620-400E-A02B-CD60316342BA}"/>
    <cellStyle name="RISKnormHeading 4 4" xfId="2803" xr:uid="{678DE1B9-2888-403E-9F6B-8E16A3E8E3CA}"/>
    <cellStyle name="RISKnormHeading 4 5" xfId="2804" xr:uid="{E19ECC8A-CFA9-41EC-B898-6AC158CE4118}"/>
    <cellStyle name="RISKnormHeading 4 6" xfId="2805" xr:uid="{90813E7D-141B-42D4-B554-A727C9E8B5DA}"/>
    <cellStyle name="RISKnormHeading 4_ActiFijos" xfId="2806" xr:uid="{6D88C2F8-5814-4308-80D4-89ECE3880435}"/>
    <cellStyle name="RISKnormHeading_Bases_Generales" xfId="2807" xr:uid="{A0901AF6-D974-414A-B513-9575D6A08CEE}"/>
    <cellStyle name="RISKnormItal" xfId="2808" xr:uid="{592B8432-4F54-48A5-8628-4D558C270A0C}"/>
    <cellStyle name="RISKnormItal 2" xfId="2809" xr:uid="{6D7F179C-23F4-4952-BF2B-22D4CE0CB66D}"/>
    <cellStyle name="RISKnormItal 2 2" xfId="2810" xr:uid="{25B6D3E7-A2D7-4A50-A15E-ECD52B5FE899}"/>
    <cellStyle name="RISKnormItal 2 3" xfId="2811" xr:uid="{62F12316-9181-4997-AF78-100DE7CEE3D1}"/>
    <cellStyle name="RISKnormItal 2 4" xfId="2812" xr:uid="{536DFE24-F0AF-4C94-9A03-B27A17786AFA}"/>
    <cellStyle name="RISKnormItal 2 5" xfId="2813" xr:uid="{5EE61CD5-98DA-42AE-8929-EA0158AA0FF1}"/>
    <cellStyle name="RISKnormItal 2 6" xfId="2814" xr:uid="{7C7B3A48-0DFC-49E1-8883-282117D4E6C1}"/>
    <cellStyle name="RISKnormItal 2_ActiFijos" xfId="2815" xr:uid="{A49ECA77-371E-4F9F-BC73-996F92CAC845}"/>
    <cellStyle name="RISKnormItal 3" xfId="2816" xr:uid="{E38AD204-597E-4F3A-8367-6743DE3A1A40}"/>
    <cellStyle name="RISKnormItal 3 2" xfId="2817" xr:uid="{5E7FAA9B-1111-4E27-93C9-F4BA15D24299}"/>
    <cellStyle name="RISKnormItal 3 3" xfId="2818" xr:uid="{65C6A464-0C66-4B1D-80CB-3C80C76F8CE3}"/>
    <cellStyle name="RISKnormItal 3 4" xfId="2819" xr:uid="{B2DAF185-74B1-4B2E-A149-78F7EC6404D1}"/>
    <cellStyle name="RISKnormItal 3 5" xfId="2820" xr:uid="{BFFF52A2-97B7-4886-9798-6BAE63EE66F9}"/>
    <cellStyle name="RISKnormItal 3 6" xfId="2821" xr:uid="{CAAEEC08-D9C9-4DFC-8E25-DC6FD14F18A1}"/>
    <cellStyle name="RISKnormItal 3_ActiFijos" xfId="2822" xr:uid="{24D645E7-3526-4208-9FEF-B3F3171FA3C5}"/>
    <cellStyle name="RISKnormItal 4" xfId="2823" xr:uid="{96DC84FB-9576-43BC-A054-85E301E288E1}"/>
    <cellStyle name="RISKnormItal 4 2" xfId="2824" xr:uid="{2D09BD8D-6ADE-48E1-912F-EA45153B5126}"/>
    <cellStyle name="RISKnormItal 4 3" xfId="2825" xr:uid="{2EA2FAE2-6DB0-4231-B5FD-0B02270F1976}"/>
    <cellStyle name="RISKnormItal 4 4" xfId="2826" xr:uid="{FF3772E3-A962-423B-979F-EB0D3EE98895}"/>
    <cellStyle name="RISKnormItal 4 5" xfId="2827" xr:uid="{53ADD2BE-41A9-4E32-A259-9BA646B4F5B5}"/>
    <cellStyle name="RISKnormItal 4 6" xfId="2828" xr:uid="{0C5F4615-0024-4E9A-827B-9E48F309C081}"/>
    <cellStyle name="RISKnormItal 4_ActiFijos" xfId="2829" xr:uid="{1EEB57D5-A52C-4C95-9C45-973B4A31BC5B}"/>
    <cellStyle name="RISKnormItal_Bases_Generales" xfId="2830" xr:uid="{57DBD261-21BF-46B9-B212-6BCFE66A49CC}"/>
    <cellStyle name="RISKnormLabel" xfId="2831" xr:uid="{023C84FE-567E-4353-A56E-EDE0FFB02FC5}"/>
    <cellStyle name="RISKnormLabel 2" xfId="2832" xr:uid="{2EBA2D2C-330E-4DFD-B690-2EC0896DB497}"/>
    <cellStyle name="RISKnormLabel 2 2" xfId="2833" xr:uid="{1AE17E82-FBC5-4532-BBD9-BEE8205F13CD}"/>
    <cellStyle name="RISKnormLabel 2 3" xfId="2834" xr:uid="{44C8ABC9-012C-4CD0-9D90-54F7A888D094}"/>
    <cellStyle name="RISKnormLabel 2 4" xfId="2835" xr:uid="{2938104C-8EA3-4D4F-82E6-7842EDAA4AC8}"/>
    <cellStyle name="RISKnormLabel 2 5" xfId="2836" xr:uid="{3FCFA061-5488-4EAC-8A23-630D3B19FF4F}"/>
    <cellStyle name="RISKnormLabel 2 6" xfId="2837" xr:uid="{47A2BB6B-24CF-4EEC-83D3-40137322C7D3}"/>
    <cellStyle name="RISKnormLabel 2_ActiFijos" xfId="2838" xr:uid="{BB8ED938-FBFE-485C-9B4C-2A2A94E1F056}"/>
    <cellStyle name="RISKnormLabel 3" xfId="2839" xr:uid="{49504644-08C2-44F0-AC4F-B734BD3FEEF0}"/>
    <cellStyle name="RISKnormLabel 3 2" xfId="2840" xr:uid="{0676058A-62B5-4DBA-9756-055C48B5C426}"/>
    <cellStyle name="RISKnormLabel 3 3" xfId="2841" xr:uid="{162E8661-E9B1-4806-BA17-0D5B48949363}"/>
    <cellStyle name="RISKnormLabel 3 4" xfId="2842" xr:uid="{1CCC39D2-DC22-4353-87DF-4CB2DB0956A9}"/>
    <cellStyle name="RISKnormLabel 3 5" xfId="2843" xr:uid="{ABCFA09D-07AE-4B22-A05D-F182CD4372CE}"/>
    <cellStyle name="RISKnormLabel 3 6" xfId="2844" xr:uid="{7DA52E79-BAEA-4F1A-AEF7-DBE3B4959CFF}"/>
    <cellStyle name="RISKnormLabel 3_ActiFijos" xfId="2845" xr:uid="{9C953335-79F5-4C61-BE67-FE6F1461B194}"/>
    <cellStyle name="RISKnormLabel 4" xfId="2846" xr:uid="{30E0971E-336B-4309-BB24-887A76C899F5}"/>
    <cellStyle name="RISKnormLabel 4 2" xfId="2847" xr:uid="{049C41B6-D1EB-482D-B322-A30218112A53}"/>
    <cellStyle name="RISKnormLabel 4 3" xfId="2848" xr:uid="{4DB51871-EBFC-4C45-AB78-8A1735C23829}"/>
    <cellStyle name="RISKnormLabel 4 4" xfId="2849" xr:uid="{333B3459-0472-40E4-9EB7-9203C7864B17}"/>
    <cellStyle name="RISKnormLabel 4 5" xfId="2850" xr:uid="{D4B27986-D095-4D03-80AF-76382987446A}"/>
    <cellStyle name="RISKnormLabel 4 6" xfId="2851" xr:uid="{532B8E01-BE35-4764-A0B0-2C1137814228}"/>
    <cellStyle name="RISKnormLabel 4_ActiFijos" xfId="2852" xr:uid="{56E5427D-4DEB-4B2D-9A4C-0D266D682E7B}"/>
    <cellStyle name="RISKnormLabel_Bases_Generales" xfId="2853" xr:uid="{726E0002-D29B-46F0-BD80-9355806DEFCF}"/>
    <cellStyle name="RISKnormShade" xfId="2854" xr:uid="{EB137B81-EFC8-49BD-BDA1-9D5B472B8623}"/>
    <cellStyle name="RISKnormShade 2" xfId="2855" xr:uid="{7FEF03EC-8586-4732-AE36-DBE10138A022}"/>
    <cellStyle name="RISKnormShade 2 2" xfId="2856" xr:uid="{DC540CBD-2992-44AC-9665-6215DEA6499E}"/>
    <cellStyle name="RISKnormShade 2 2 2" xfId="6198" xr:uid="{2DE9E0DE-BA69-41E8-A840-583668999065}"/>
    <cellStyle name="RISKnormShade 2 3" xfId="2857" xr:uid="{0689881A-67D0-4B90-BA2C-948A3453B0CF}"/>
    <cellStyle name="RISKnormShade 2 3 2" xfId="6199" xr:uid="{D790ECB4-DB9B-4B73-8C95-8DFA0A1EADA7}"/>
    <cellStyle name="RISKnormShade 2 4" xfId="2858" xr:uid="{431C49C8-1656-48D8-BEEA-D3A78F99C343}"/>
    <cellStyle name="RISKnormShade 2 4 2" xfId="6200" xr:uid="{7808E397-1B54-4747-8E9D-A508CE481C7F}"/>
    <cellStyle name="RISKnormShade 2 5" xfId="2859" xr:uid="{37520771-D87F-42F4-86C9-8F4DC4AB8811}"/>
    <cellStyle name="RISKnormShade 2 5 2" xfId="6201" xr:uid="{4DB3DC0A-A46D-4982-8A45-F7A41B3A6400}"/>
    <cellStyle name="RISKnormShade 2 6" xfId="2860" xr:uid="{E02BC53D-BF45-4212-B6B3-185029994F9F}"/>
    <cellStyle name="RISKnormShade 2 6 2" xfId="6202" xr:uid="{A4BE1BD8-104D-4CC5-AC92-CB5733F46840}"/>
    <cellStyle name="RISKnormShade 2 7" xfId="6203" xr:uid="{B03E670C-C62F-4395-BE06-180D42FA4ED0}"/>
    <cellStyle name="RISKnormShade 3" xfId="2861" xr:uid="{5A402719-42A3-4564-836D-343B0976EFF2}"/>
    <cellStyle name="RISKnormShade 3 2" xfId="2862" xr:uid="{7CF78228-F507-4AB2-BC3A-AA8671209F33}"/>
    <cellStyle name="RISKnormShade 3 2 2" xfId="6204" xr:uid="{7CDB56AC-C171-416E-BFDE-5953BCFA86A9}"/>
    <cellStyle name="RISKnormShade 3 3" xfId="2863" xr:uid="{0C4EC1FB-18BA-438A-96D7-8FCD724D8117}"/>
    <cellStyle name="RISKnormShade 3 3 2" xfId="6205" xr:uid="{8EAAAC53-25D6-4F2B-A01A-5C8FF3DCA462}"/>
    <cellStyle name="RISKnormShade 3 4" xfId="2864" xr:uid="{30AAEC4C-E02F-43C3-AC78-00D100D87F7F}"/>
    <cellStyle name="RISKnormShade 3 4 2" xfId="6206" xr:uid="{9ADCA7AB-8A59-42F1-AC88-3DDCCBF9E873}"/>
    <cellStyle name="RISKnormShade 3 5" xfId="2865" xr:uid="{F09CCC89-2230-4D62-83ED-D21F83F070A9}"/>
    <cellStyle name="RISKnormShade 3 5 2" xfId="6207" xr:uid="{0F6BCC40-E3E0-4A89-AB1E-CE99DBE61E3E}"/>
    <cellStyle name="RISKnormShade 3 6" xfId="2866" xr:uid="{1EE39DA7-0346-4AE5-8A02-FBF907623785}"/>
    <cellStyle name="RISKnormShade 3 6 2" xfId="6208" xr:uid="{BDACCCC1-11F5-4DA7-9E89-F204BF00C0F1}"/>
    <cellStyle name="RISKnormShade 3 7" xfId="6209" xr:uid="{98A5F851-8EE6-4809-B60F-35DE58A61E1D}"/>
    <cellStyle name="RISKnormShade 4" xfId="2867" xr:uid="{31422D52-0C67-4078-8174-F7E7D0354B3E}"/>
    <cellStyle name="RISKnormShade 4 2" xfId="2868" xr:uid="{ADBB4A49-A0DA-4C57-B8B9-C30FF95C7FDB}"/>
    <cellStyle name="RISKnormShade 4 2 2" xfId="6210" xr:uid="{F4CA3E1A-3D8A-4571-B297-225F9E74D582}"/>
    <cellStyle name="RISKnormShade 4 3" xfId="2869" xr:uid="{28C21FED-C404-42F3-ADEF-DD5C5B692CC3}"/>
    <cellStyle name="RISKnormShade 4 3 2" xfId="6211" xr:uid="{94EB87A5-FB05-44B4-912A-F8DAC1A89B31}"/>
    <cellStyle name="RISKnormShade 4 4" xfId="2870" xr:uid="{F06D4850-4492-49BB-BEB3-76B3E762DC99}"/>
    <cellStyle name="RISKnormShade 4 4 2" xfId="6212" xr:uid="{5204445F-60FF-4FCA-8706-8E4AE014E43B}"/>
    <cellStyle name="RISKnormShade 4 5" xfId="2871" xr:uid="{C1E88FBA-DE5E-423D-9E45-EA803A28A974}"/>
    <cellStyle name="RISKnormShade 4 5 2" xfId="6213" xr:uid="{24F43232-DA83-42FB-9B0D-01A5EA8FB82A}"/>
    <cellStyle name="RISKnormShade 4 6" xfId="2872" xr:uid="{1A680D27-633E-4DB0-876F-78F4FD8E5D34}"/>
    <cellStyle name="RISKnormShade 4 6 2" xfId="6214" xr:uid="{722F2B04-82EB-4DCE-94A6-BB677411C031}"/>
    <cellStyle name="RISKnormShade 4 7" xfId="6215" xr:uid="{98D702CE-EC8B-4E78-AEB5-49A71809101C}"/>
    <cellStyle name="RISKnormShade 5" xfId="6216" xr:uid="{8F0E8ACF-8981-448D-866E-BCA8EF9E645A}"/>
    <cellStyle name="RISKnormTitle" xfId="2873" xr:uid="{5F7B1908-B26D-478F-A75F-B754E149C175}"/>
    <cellStyle name="RISKnormTitle 10" xfId="2874" xr:uid="{B9640855-DBA3-4191-BB44-08467C063F4F}"/>
    <cellStyle name="RISKnormTitle 11" xfId="2875" xr:uid="{D97E0D4E-372C-4A79-8FC0-5704464B0F18}"/>
    <cellStyle name="RISKnormTitle 2" xfId="2876" xr:uid="{E9EDDE17-1739-497F-8EC2-2E4C2D0724B0}"/>
    <cellStyle name="RISKnormTitle 2 2" xfId="2877" xr:uid="{9D4B902D-29BA-4C14-8526-720D4F29D05F}"/>
    <cellStyle name="RISKnormTitle 2 3" xfId="2878" xr:uid="{46D72D7B-0A4C-47A9-8ADE-B5E53F6A0AEA}"/>
    <cellStyle name="RISKnormTitle 2 4" xfId="2879" xr:uid="{1C5F7B6F-558D-4570-815D-674B239DDB39}"/>
    <cellStyle name="RISKnormTitle 2 5" xfId="2880" xr:uid="{DB23913B-36D2-4502-831B-17E731D73F36}"/>
    <cellStyle name="RISKnormTitle 2 6" xfId="2881" xr:uid="{59D35887-2D52-4166-BC21-7A135C771573}"/>
    <cellStyle name="RISKnormTitle 2_ActiFijos" xfId="2882" xr:uid="{34461495-F523-472D-9C8A-6AAE4812A824}"/>
    <cellStyle name="RISKnormTitle 3" xfId="2883" xr:uid="{4072BD70-C090-4C3F-A82C-6A0556ACC9E2}"/>
    <cellStyle name="RISKnormTitle 3 2" xfId="2884" xr:uid="{750C9BB5-22FF-4BDF-8E96-E2D24A6AF5AA}"/>
    <cellStyle name="RISKnormTitle 3 3" xfId="2885" xr:uid="{C36DB7C3-606E-47A3-B356-2B957314B501}"/>
    <cellStyle name="RISKnormTitle 3 4" xfId="2886" xr:uid="{6417682A-6A2C-4E4C-B74A-EA137D39B066}"/>
    <cellStyle name="RISKnormTitle 3 5" xfId="2887" xr:uid="{C54C6C00-8065-488A-ABE5-0FDF1122CB41}"/>
    <cellStyle name="RISKnormTitle 3 6" xfId="2888" xr:uid="{3469F3BF-6804-44DC-B534-0FD36163EB35}"/>
    <cellStyle name="RISKnormTitle 3_ActiFijos" xfId="2889" xr:uid="{DF2B6AF6-EB4D-4548-ABA7-2F830E8D2EF0}"/>
    <cellStyle name="RISKnormTitle 4" xfId="2890" xr:uid="{64D83ED8-5AA7-4E7A-9453-5727712EA607}"/>
    <cellStyle name="RISKnormTitle 4 2" xfId="2891" xr:uid="{B479D77C-4D9B-41E6-A9A9-EC580331CD7F}"/>
    <cellStyle name="RISKnormTitle 4 3" xfId="2892" xr:uid="{8DECED8A-D282-46B2-8835-ED9F38F69B3B}"/>
    <cellStyle name="RISKnormTitle 4 4" xfId="2893" xr:uid="{FDCFAD2C-4D64-4698-9E44-41C06116C839}"/>
    <cellStyle name="RISKnormTitle 4 5" xfId="2894" xr:uid="{188FEC09-938D-47A2-B0EA-0A7F24310AC1}"/>
    <cellStyle name="RISKnormTitle 4 6" xfId="2895" xr:uid="{9442DFA9-BCA1-47EA-A483-8D778A64BDC2}"/>
    <cellStyle name="RISKnormTitle 4_ActiFijos" xfId="2896" xr:uid="{37CEED29-D0BD-4240-B7A6-B2C7C7107E43}"/>
    <cellStyle name="RISKnormTitle 5" xfId="2897" xr:uid="{964E2B84-3E30-4675-B2DA-9473E4DFE781}"/>
    <cellStyle name="RISKnormTitle 6" xfId="2898" xr:uid="{D8F1E5B4-4879-4FE3-B984-7610FFBE0A74}"/>
    <cellStyle name="RISKnormTitle 7" xfId="2899" xr:uid="{673D2212-22A3-4DF1-9A9E-C804FBCF3977}"/>
    <cellStyle name="RISKnormTitle 8" xfId="2900" xr:uid="{AF9A87AB-C8FA-4697-9486-2F70620945BF}"/>
    <cellStyle name="RISKnormTitle 9" xfId="2901" xr:uid="{DCC64E52-829F-4BAA-8FE1-A2DF55C57763}"/>
    <cellStyle name="RISKnormTitle_ActiFijos" xfId="2902" xr:uid="{EE904F3C-B711-4C98-8DDC-70FBD7F04B82}"/>
    <cellStyle name="RISKoutNumber" xfId="2903" xr:uid="{B3259BA3-49FA-4A75-B349-A0E6CA3771DB}"/>
    <cellStyle name="RISKoutNumber 2" xfId="2904" xr:uid="{BA92612A-8442-40FD-A8F2-36D21B4350C6}"/>
    <cellStyle name="RISKoutNumber 2 2" xfId="2905" xr:uid="{61562EBA-AA0A-4FC8-94BB-49DBADE79F15}"/>
    <cellStyle name="RISKoutNumber 2 3" xfId="2906" xr:uid="{93BBAD76-1B22-4DB0-9848-1E618F0B8FF3}"/>
    <cellStyle name="RISKoutNumber 2 4" xfId="2907" xr:uid="{B8BFC6AB-3955-4020-A0E3-F34BEEBDCE8D}"/>
    <cellStyle name="RISKoutNumber 2 5" xfId="2908" xr:uid="{67EEF99B-F199-4647-9240-1FDBD0E81F1D}"/>
    <cellStyle name="RISKoutNumber 2 6" xfId="2909" xr:uid="{4A95528A-7120-49E6-B70F-902D6EB29EF1}"/>
    <cellStyle name="RISKoutNumber 2_ActiFijos" xfId="2910" xr:uid="{0EA6C157-CA7F-49C1-8BB8-69B30C093095}"/>
    <cellStyle name="RISKoutNumber 3" xfId="2911" xr:uid="{B730CC4B-B31E-4DB6-99C3-BC62AB54CA7B}"/>
    <cellStyle name="RISKoutNumber 3 2" xfId="2912" xr:uid="{CD4C6EFE-025F-4E6C-AE27-E5546DBE7CF3}"/>
    <cellStyle name="RISKoutNumber 3 3" xfId="2913" xr:uid="{71EA91F2-B1DC-40D6-8C8D-4AD686447FBA}"/>
    <cellStyle name="RISKoutNumber 3 4" xfId="2914" xr:uid="{778FCC5B-AD94-4C4E-9161-6D4B80FEEBAD}"/>
    <cellStyle name="RISKoutNumber 3 5" xfId="2915" xr:uid="{6711D14D-A915-45DD-ADF4-144E414DBC4D}"/>
    <cellStyle name="RISKoutNumber 3 6" xfId="2916" xr:uid="{8D9BC1A8-3AF8-4DB1-B244-5978628E7CEF}"/>
    <cellStyle name="RISKoutNumber 3_ActiFijos" xfId="2917" xr:uid="{879285F6-31C9-430A-B0BB-6E38D55C7301}"/>
    <cellStyle name="RISKoutNumber 4" xfId="2918" xr:uid="{B60B0B4F-E581-47E8-8BD1-0DDF3706732E}"/>
    <cellStyle name="RISKoutNumber 4 2" xfId="2919" xr:uid="{9DFBAE69-304E-44A8-86CF-F593BFA3E109}"/>
    <cellStyle name="RISKoutNumber 4 3" xfId="2920" xr:uid="{FE357514-B0C7-446E-9BB1-EAC2A0AB27D4}"/>
    <cellStyle name="RISKoutNumber 4 4" xfId="2921" xr:uid="{95021C2C-4413-414C-BC80-BF549033C79C}"/>
    <cellStyle name="RISKoutNumber 4 5" xfId="2922" xr:uid="{FD3F2C42-14CA-4AAB-954B-A042CC386786}"/>
    <cellStyle name="RISKoutNumber 4 6" xfId="2923" xr:uid="{53BDBC04-7460-488E-BF14-E9D50799827A}"/>
    <cellStyle name="RISKoutNumber 4_ActiFijos" xfId="2924" xr:uid="{DA95EEF7-7301-449F-8FE0-D334F798EDC0}"/>
    <cellStyle name="RISKoutNumber_Bases_Generales" xfId="2925" xr:uid="{7B37D8FD-A1A9-4B63-80BB-EF88C97BCAEF}"/>
    <cellStyle name="RISKrightEdge" xfId="2926" xr:uid="{7F8579F0-BBF9-4225-AB39-642B0CC5C773}"/>
    <cellStyle name="RISKrightEdge 2" xfId="2927" xr:uid="{1A577CAA-F751-455C-9CD1-25B2F70CEA05}"/>
    <cellStyle name="RISKrightEdge 2 2" xfId="2928" xr:uid="{E05BEB2D-AC40-4774-B1D7-2377DB0A8461}"/>
    <cellStyle name="RISKrightEdge 2 2 2" xfId="6217" xr:uid="{DF316245-E36B-4B95-B282-5221230233F9}"/>
    <cellStyle name="RISKrightEdge 2 3" xfId="2929" xr:uid="{3CAE7F56-4828-464D-89E0-C89139D60D4B}"/>
    <cellStyle name="RISKrightEdge 2 3 2" xfId="6218" xr:uid="{123F752F-8FC0-434E-AE71-2C3785557F48}"/>
    <cellStyle name="RISKrightEdge 2 4" xfId="2930" xr:uid="{9D7AC3F8-06B5-42A3-BF93-529D0F6FE339}"/>
    <cellStyle name="RISKrightEdge 2 4 2" xfId="6219" xr:uid="{EA2F8754-A7CA-47EB-9722-E7C619212E2B}"/>
    <cellStyle name="RISKrightEdge 2 5" xfId="2931" xr:uid="{BFF06754-D2B1-4C03-A923-EAF6065F9AE6}"/>
    <cellStyle name="RISKrightEdge 2 5 2" xfId="6220" xr:uid="{03FAAA96-FA59-4FE7-B410-E558C9FE584B}"/>
    <cellStyle name="RISKrightEdge 2 6" xfId="2932" xr:uid="{D92A5F4B-9ABD-40FA-B528-ED75D65CA4F4}"/>
    <cellStyle name="RISKrightEdge 2 6 2" xfId="6221" xr:uid="{36BA2ED1-3865-418E-817B-C35C9BEF7A81}"/>
    <cellStyle name="RISKrightEdge 2 7" xfId="6222" xr:uid="{DE5D76B8-6817-4F40-ADB2-D93ABCD03A17}"/>
    <cellStyle name="RISKrightEdge 3" xfId="2933" xr:uid="{51ED4254-3136-4FCF-B340-42F1E8E309D7}"/>
    <cellStyle name="RISKrightEdge 3 2" xfId="2934" xr:uid="{69AE2104-198D-4536-B61E-DC9C9AC8A147}"/>
    <cellStyle name="RISKrightEdge 3 2 2" xfId="6223" xr:uid="{6F30936D-9751-4C9E-810E-4E7717CD47A3}"/>
    <cellStyle name="RISKrightEdge 3 3" xfId="2935" xr:uid="{1BC2EF01-594D-4FCB-BECF-459F6C630AFC}"/>
    <cellStyle name="RISKrightEdge 3 3 2" xfId="6224" xr:uid="{365B55E3-85F9-4C9B-B822-19F3CFFD9D99}"/>
    <cellStyle name="RISKrightEdge 3 4" xfId="2936" xr:uid="{29AB6599-7EB2-4BD2-9FA1-A38FA5E252C6}"/>
    <cellStyle name="RISKrightEdge 3 4 2" xfId="6225" xr:uid="{608EE75B-BEE8-498B-828D-35A4B2E042FA}"/>
    <cellStyle name="RISKrightEdge 3 5" xfId="2937" xr:uid="{F1F2B7AD-50F6-4F84-9554-8ED3312DAA01}"/>
    <cellStyle name="RISKrightEdge 3 5 2" xfId="6226" xr:uid="{8501F71D-9945-4B8A-BF7E-05FF4A5EA783}"/>
    <cellStyle name="RISKrightEdge 3 6" xfId="2938" xr:uid="{C3F19490-0FEF-4A3A-B58A-E0308D2C6742}"/>
    <cellStyle name="RISKrightEdge 3 6 2" xfId="6227" xr:uid="{E99A13DB-B9E6-4362-8265-A23E614D2B3D}"/>
    <cellStyle name="RISKrightEdge 3 7" xfId="6228" xr:uid="{16170E5A-6557-4665-9E52-83D3B15641EB}"/>
    <cellStyle name="RISKrightEdge 4" xfId="2939" xr:uid="{F8FC4765-1CE0-4EF4-B550-C26F78E140D2}"/>
    <cellStyle name="RISKrightEdge 4 2" xfId="2940" xr:uid="{56D37E64-EE1D-44A0-ADF4-76168696A286}"/>
    <cellStyle name="RISKrightEdge 4 2 2" xfId="6229" xr:uid="{25DF1115-8E97-4108-8956-DDF01D26A636}"/>
    <cellStyle name="RISKrightEdge 4 3" xfId="2941" xr:uid="{F715E259-7499-43B4-B670-FE80E802EA04}"/>
    <cellStyle name="RISKrightEdge 4 3 2" xfId="6230" xr:uid="{89459887-0431-4FDE-BC0C-7BEF8002B5E4}"/>
    <cellStyle name="RISKrightEdge 4 4" xfId="2942" xr:uid="{D659B9EC-9513-4A71-A8E0-CD8F507E600A}"/>
    <cellStyle name="RISKrightEdge 4 4 2" xfId="6231" xr:uid="{57413291-419B-4B68-AD12-790107966666}"/>
    <cellStyle name="RISKrightEdge 4 5" xfId="2943" xr:uid="{2CEBFDAB-217C-46A2-B2C0-997D24CA73E4}"/>
    <cellStyle name="RISKrightEdge 4 5 2" xfId="6232" xr:uid="{E0BC6869-4CA5-4551-9CA7-9DD5752E3E00}"/>
    <cellStyle name="RISKrightEdge 4 6" xfId="2944" xr:uid="{AC8664B7-A639-4971-97B6-A104C6118CEB}"/>
    <cellStyle name="RISKrightEdge 4 6 2" xfId="6233" xr:uid="{414D27F2-66C9-442F-8099-241A82953C49}"/>
    <cellStyle name="RISKrightEdge 4 7" xfId="6234" xr:uid="{4165EE26-19C8-4ACF-8DB2-5567E241AEC2}"/>
    <cellStyle name="RISKrightEdge 5" xfId="6235" xr:uid="{F20EEB30-92E0-42BE-BA9D-68E03176D7F5}"/>
    <cellStyle name="RISKrtandbEdge" xfId="2945" xr:uid="{9431752D-B95B-4F70-8980-3BA516E35795}"/>
    <cellStyle name="RISKrtandbEdge 2" xfId="2946" xr:uid="{1BD3142A-358B-4B4A-8708-893657B20E3C}"/>
    <cellStyle name="RISKrtandbEdge 2 2" xfId="2947" xr:uid="{AC1961D0-CA01-4942-B693-712B83229AD0}"/>
    <cellStyle name="RISKrtandbEdge 2 2 2" xfId="2948" xr:uid="{3B5E2D31-048C-41FB-881C-69E3CEF9A3E3}"/>
    <cellStyle name="RISKrtandbEdge 2 2 2 2" xfId="6236" xr:uid="{A4EBBAA1-1464-4784-ABA7-A90AE5A81F0B}"/>
    <cellStyle name="RISKrtandbEdge 2 2 3" xfId="6237" xr:uid="{E8D9CB3D-B4CE-4CA3-BB14-2435E5B493FB}"/>
    <cellStyle name="RISKrtandbEdge 2 3" xfId="2949" xr:uid="{F7988186-E03B-4F8D-A270-2C8CF80818B1}"/>
    <cellStyle name="RISKrtandbEdge 2 3 2" xfId="2950" xr:uid="{D4FF6D22-126C-414F-BA84-CC856D670266}"/>
    <cellStyle name="RISKrtandbEdge 2 3 2 2" xfId="6238" xr:uid="{4B081F90-ADBF-4311-BC9D-0D72B479FBF7}"/>
    <cellStyle name="RISKrtandbEdge 2 3 3" xfId="6239" xr:uid="{B09AAD48-658D-4978-AA7B-3790EC1E8B11}"/>
    <cellStyle name="RISKrtandbEdge 2 4" xfId="2951" xr:uid="{7FA54947-F8A4-4A25-87A1-5246C2200E04}"/>
    <cellStyle name="RISKrtandbEdge 2 4 2" xfId="2952" xr:uid="{67D292B5-E805-4BF3-AAC0-C2460B4E86CC}"/>
    <cellStyle name="RISKrtandbEdge 2 4 2 2" xfId="6240" xr:uid="{CD4AF553-762D-4887-80ED-F401B0639D69}"/>
    <cellStyle name="RISKrtandbEdge 2 4 3" xfId="6241" xr:uid="{5E5F3262-0D35-4ABB-B4FB-B0CE99152937}"/>
    <cellStyle name="RISKrtandbEdge 2 5" xfId="2953" xr:uid="{6533E98F-1D87-45E4-8BB5-E25D2AC7F9FC}"/>
    <cellStyle name="RISKrtandbEdge 2 5 2" xfId="6242" xr:uid="{DEACBDC9-16E8-4C2B-80AE-A50975BF5A4A}"/>
    <cellStyle name="RISKrtandbEdge 2 6" xfId="2954" xr:uid="{52287A1B-A4E2-4690-9AC4-1F99D55C062A}"/>
    <cellStyle name="RISKrtandbEdge 2 6 2" xfId="6243" xr:uid="{4F912ED9-3649-46A2-B6D6-0DC88FD21426}"/>
    <cellStyle name="RISKrtandbEdge 2 7" xfId="6244" xr:uid="{9C6BF56A-C041-4016-BD61-56BE79089D97}"/>
    <cellStyle name="RISKrtandbEdge 3" xfId="2955" xr:uid="{4D4EDE4D-EF74-4098-8749-CD1BC88FEB5D}"/>
    <cellStyle name="RISKrtandbEdge 3 2" xfId="2956" xr:uid="{4795E351-E6DA-4DC5-B8AA-CEC3B1A85C9A}"/>
    <cellStyle name="RISKrtandbEdge 3 2 2" xfId="2957" xr:uid="{F0166B1D-E8A7-4BAE-B34B-D34D618B9E85}"/>
    <cellStyle name="RISKrtandbEdge 3 2 2 2" xfId="6245" xr:uid="{166266FE-55F3-4A9E-A6C2-EFBA6CE0EFCA}"/>
    <cellStyle name="RISKrtandbEdge 3 2 3" xfId="6246" xr:uid="{3EA0C7D6-1096-4ED7-821E-28D530079571}"/>
    <cellStyle name="RISKrtandbEdge 3 3" xfId="2958" xr:uid="{FE922379-F739-46D0-BF8E-D51B9F593621}"/>
    <cellStyle name="RISKrtandbEdge 3 3 2" xfId="2959" xr:uid="{6BCC346B-F991-442D-B983-72D450E78166}"/>
    <cellStyle name="RISKrtandbEdge 3 3 2 2" xfId="6247" xr:uid="{718041A3-6EF9-4FC1-BF71-A4E428C031A9}"/>
    <cellStyle name="RISKrtandbEdge 3 3 3" xfId="6248" xr:uid="{0A964632-CF20-4FB3-9B30-F6F0E04B5E6F}"/>
    <cellStyle name="RISKrtandbEdge 3 4" xfId="2960" xr:uid="{A1C23A63-5793-47B0-94A8-0D57EE5230E9}"/>
    <cellStyle name="RISKrtandbEdge 3 4 2" xfId="2961" xr:uid="{7354D18E-2E7A-4E66-BD63-7592DA68BC5A}"/>
    <cellStyle name="RISKrtandbEdge 3 4 2 2" xfId="6249" xr:uid="{05B20AB6-DEBE-46C5-A69E-305CE0CC88AA}"/>
    <cellStyle name="RISKrtandbEdge 3 4 3" xfId="6250" xr:uid="{63C336E4-889E-4E38-A982-41D5B066AA41}"/>
    <cellStyle name="RISKrtandbEdge 3 5" xfId="2962" xr:uid="{782940F2-8EB6-4996-8070-D1A8CAE0F604}"/>
    <cellStyle name="RISKrtandbEdge 3 5 2" xfId="6251" xr:uid="{111BDC57-DBB1-4609-97BA-80C1E1659F60}"/>
    <cellStyle name="RISKrtandbEdge 3 6" xfId="2963" xr:uid="{0D858DB3-CCDA-4E16-8F00-5A1D68CB871D}"/>
    <cellStyle name="RISKrtandbEdge 3 6 2" xfId="6252" xr:uid="{425906DF-1266-47B2-A922-C60FD9003934}"/>
    <cellStyle name="RISKrtandbEdge 3 7" xfId="6253" xr:uid="{29C2A034-0AC2-414C-AFF9-F67524733D3D}"/>
    <cellStyle name="RISKrtandbEdge 4" xfId="2964" xr:uid="{EEC3D565-439F-4149-8AF6-7BB381FBBC27}"/>
    <cellStyle name="RISKrtandbEdge 4 2" xfId="2965" xr:uid="{C1E7CC3F-8007-4979-9375-79F9137DBEAF}"/>
    <cellStyle name="RISKrtandbEdge 4 2 2" xfId="2966" xr:uid="{CB936814-03F2-4AA0-94CF-464E56315A46}"/>
    <cellStyle name="RISKrtandbEdge 4 2 2 2" xfId="6254" xr:uid="{266D39FB-FEAE-496A-A438-641CEC8D6F24}"/>
    <cellStyle name="RISKrtandbEdge 4 2 3" xfId="6255" xr:uid="{4B51804F-0D4C-46E6-9462-2ABCD73C8F09}"/>
    <cellStyle name="RISKrtandbEdge 4 3" xfId="2967" xr:uid="{D6CC5C3B-2C95-447A-A880-32A727828EE4}"/>
    <cellStyle name="RISKrtandbEdge 4 3 2" xfId="2968" xr:uid="{8548FD99-3D2F-494D-8144-C0DD36A3689C}"/>
    <cellStyle name="RISKrtandbEdge 4 3 2 2" xfId="6256" xr:uid="{AAB7DA1A-D7BC-4239-A853-F33798674054}"/>
    <cellStyle name="RISKrtandbEdge 4 3 3" xfId="6257" xr:uid="{2F86DE89-FB6F-4A6A-8DBD-FECF094CF148}"/>
    <cellStyle name="RISKrtandbEdge 4 4" xfId="2969" xr:uid="{4FB23EDE-E7CB-492D-ACF6-A2073B8D9409}"/>
    <cellStyle name="RISKrtandbEdge 4 4 2" xfId="2970" xr:uid="{CB754B1C-DCF3-4989-99FA-EDED152687F4}"/>
    <cellStyle name="RISKrtandbEdge 4 4 2 2" xfId="6258" xr:uid="{0255CB68-1A4C-446A-9C4A-84702C6A80DA}"/>
    <cellStyle name="RISKrtandbEdge 4 4 3" xfId="6259" xr:uid="{2F080368-6ECA-4F53-86B1-D199921BEC76}"/>
    <cellStyle name="RISKrtandbEdge 4 5" xfId="2971" xr:uid="{BAAEABA9-D641-4640-9415-7327DEDE6F62}"/>
    <cellStyle name="RISKrtandbEdge 4 5 2" xfId="6260" xr:uid="{6A576426-2222-4FEC-B297-F630F0FB4CDE}"/>
    <cellStyle name="RISKrtandbEdge 4 6" xfId="2972" xr:uid="{138823F5-34A8-4C0A-A325-1B84E24F980C}"/>
    <cellStyle name="RISKrtandbEdge 4 6 2" xfId="6261" xr:uid="{D4DCB808-305F-44DE-A195-9B2FBE8EC204}"/>
    <cellStyle name="RISKrtandbEdge 4 7" xfId="6262" xr:uid="{51F4DA4D-72A9-46F3-A827-824104B0291E}"/>
    <cellStyle name="RISKrtandbEdge 5" xfId="2973" xr:uid="{91E92BE3-D930-4181-B7B4-4485CB9CFC4B}"/>
    <cellStyle name="RISKrtandbEdge 5 2" xfId="6263" xr:uid="{DBF3B82B-2AF8-42FF-8877-18B80122E093}"/>
    <cellStyle name="RISKrtandbEdge 6" xfId="2974" xr:uid="{E2F84876-FE8A-4478-A313-17BDA6DF7125}"/>
    <cellStyle name="RISKrtandbEdge 6 2" xfId="6264" xr:uid="{3C93B365-C28F-497D-BBE9-AFC3948C4C64}"/>
    <cellStyle name="RISKrtandbEdge 7" xfId="2975" xr:uid="{30242448-6B2C-4846-AEDF-C3BB438E87E1}"/>
    <cellStyle name="RISKrtandbEdge 7 2" xfId="6265" xr:uid="{5CF3BEAB-5DE5-466C-B2B1-F5B5C4B80A00}"/>
    <cellStyle name="RISKrtandbEdge 8" xfId="6266" xr:uid="{1CBFCF19-66C8-414D-9FD0-61F3E494420F}"/>
    <cellStyle name="RISKrtandbEdge_PyG" xfId="2976" xr:uid="{E3E1BF5C-AEBD-4D3A-A2B0-619D8417A266}"/>
    <cellStyle name="RISKssTime" xfId="2977" xr:uid="{176A4041-88DA-4D49-8555-7C4478F09B95}"/>
    <cellStyle name="RISKssTime 2" xfId="2978" xr:uid="{AE766E52-9504-470E-BCF3-652A8E268186}"/>
    <cellStyle name="RISKssTime 2 2" xfId="2979" xr:uid="{419ECD98-8DA2-41E6-8280-6A0329A1763D}"/>
    <cellStyle name="RISKssTime 2 2 2" xfId="6267" xr:uid="{A16A6138-91EC-4D68-B9EF-BC679BBD4C63}"/>
    <cellStyle name="RISKssTime 2 3" xfId="2980" xr:uid="{22F54B67-6185-455C-936C-79427FF418AB}"/>
    <cellStyle name="RISKssTime 2 3 2" xfId="6268" xr:uid="{00DCE3C4-46B6-4B01-A94D-D4392EA0D63D}"/>
    <cellStyle name="RISKssTime 2 4" xfId="2981" xr:uid="{D7A2FD03-F677-4648-A932-16D7324D674C}"/>
    <cellStyle name="RISKssTime 2 4 2" xfId="6269" xr:uid="{AD38ACBC-E4A1-4B41-B693-E2AB96AC580E}"/>
    <cellStyle name="RISKssTime 2 5" xfId="2982" xr:uid="{0DBBD1A9-A984-474A-8B2E-01ADCDFD74EE}"/>
    <cellStyle name="RISKssTime 2 5 2" xfId="6270" xr:uid="{D904E314-29D9-4A84-B794-0A87811C54CA}"/>
    <cellStyle name="RISKssTime 2 6" xfId="2983" xr:uid="{8E812D00-0917-4EF3-A82C-8DB9B9057079}"/>
    <cellStyle name="RISKssTime 2 6 2" xfId="6271" xr:uid="{25790C2A-A4B5-474D-8D41-11D62D7452F2}"/>
    <cellStyle name="RISKssTime 2 7" xfId="6272" xr:uid="{2F16F59C-E500-4183-B3B5-94529F007695}"/>
    <cellStyle name="RISKssTime 3" xfId="2984" xr:uid="{8F760802-F89B-478C-8EF4-F0BED772B4F8}"/>
    <cellStyle name="RISKssTime 3 2" xfId="2985" xr:uid="{DF07251A-A0CB-463D-BEDF-D15BCF7CFB75}"/>
    <cellStyle name="RISKssTime 3 2 2" xfId="6273" xr:uid="{2ABA886B-1256-4FF5-ACEC-F7D8251BAE88}"/>
    <cellStyle name="RISKssTime 3 3" xfId="2986" xr:uid="{90264C43-6A8F-42B8-A35A-4D3107A64FFA}"/>
    <cellStyle name="RISKssTime 3 3 2" xfId="6274" xr:uid="{732690B1-FAA1-4D4B-8496-D32528E095CA}"/>
    <cellStyle name="RISKssTime 3 4" xfId="2987" xr:uid="{10E8FF38-D8D2-47C5-85CB-99D4215D8220}"/>
    <cellStyle name="RISKssTime 3 4 2" xfId="6275" xr:uid="{1D04BCE3-611E-46CF-B09A-2F30B9554B35}"/>
    <cellStyle name="RISKssTime 3 5" xfId="2988" xr:uid="{1139E48D-90D9-458E-B17D-A47CF91740D2}"/>
    <cellStyle name="RISKssTime 3 5 2" xfId="6276" xr:uid="{B30FD9F2-6823-4CEC-AF65-26BB89AFB0EE}"/>
    <cellStyle name="RISKssTime 3 6" xfId="2989" xr:uid="{9AD10805-6572-487A-AEED-7244164E3781}"/>
    <cellStyle name="RISKssTime 3 6 2" xfId="6277" xr:uid="{90605563-CA18-4BBB-8E17-850421AC1175}"/>
    <cellStyle name="RISKssTime 3 7" xfId="6278" xr:uid="{1F234D67-79E3-4562-8B3D-6E318E94F402}"/>
    <cellStyle name="RISKssTime 4" xfId="2990" xr:uid="{A9662DBA-CD6F-4602-9740-DC3213067040}"/>
    <cellStyle name="RISKssTime 4 2" xfId="2991" xr:uid="{420C0300-A915-4695-BC64-5354FDAE5524}"/>
    <cellStyle name="RISKssTime 4 2 2" xfId="6279" xr:uid="{85F6F2C7-896B-4EAF-9B88-A62DEFCE2C6F}"/>
    <cellStyle name="RISKssTime 4 3" xfId="2992" xr:uid="{C61374F2-AE65-4B3C-BFB3-0A731BB9BA12}"/>
    <cellStyle name="RISKssTime 4 3 2" xfId="6280" xr:uid="{E62DB673-7532-428F-BB99-F3C7AE9EEDF9}"/>
    <cellStyle name="RISKssTime 4 4" xfId="2993" xr:uid="{CA5340AD-CA7C-4C6F-AE62-5CF94F7AAB59}"/>
    <cellStyle name="RISKssTime 4 4 2" xfId="6281" xr:uid="{ED00A20F-3F87-4B94-A429-37D7114846CA}"/>
    <cellStyle name="RISKssTime 4 5" xfId="2994" xr:uid="{98AC5B4E-D5C7-48F9-A4CD-A5F2A12350D2}"/>
    <cellStyle name="RISKssTime 4 5 2" xfId="6282" xr:uid="{4143B7F4-CEFA-43BB-B75F-1AE275FC8108}"/>
    <cellStyle name="RISKssTime 4 6" xfId="2995" xr:uid="{9E3D3C32-7BE4-46D1-89D2-CA14DE17B918}"/>
    <cellStyle name="RISKssTime 4 6 2" xfId="6283" xr:uid="{59F772BE-8CF2-4D53-AD5D-29D572651E52}"/>
    <cellStyle name="RISKssTime 4 7" xfId="6284" xr:uid="{830F1B19-F284-4C7F-B179-C961B5E40D7C}"/>
    <cellStyle name="RISKssTime 5" xfId="6285" xr:uid="{14D92122-845C-494A-8646-44156BF6FEEC}"/>
    <cellStyle name="RISKtandbEdge" xfId="2996" xr:uid="{152763FB-350F-47A5-8C6E-32509E4DE3FA}"/>
    <cellStyle name="RISKtandbEdge 2" xfId="2997" xr:uid="{7C3A1C44-BE33-4F56-BA96-458B30F29C61}"/>
    <cellStyle name="RISKtandbEdge 2 2" xfId="2998" xr:uid="{E07BF0E9-5FC3-4510-A77E-D85E3EC99FA6}"/>
    <cellStyle name="RISKtandbEdge 2 2 2" xfId="2999" xr:uid="{DDC0540A-FD93-4D63-9596-959D8D0AA681}"/>
    <cellStyle name="RISKtandbEdge 2 2 2 2" xfId="6286" xr:uid="{C8906145-7285-4C6D-B235-8AC1A6BF69CF}"/>
    <cellStyle name="RISKtandbEdge 2 2 3" xfId="6287" xr:uid="{BC342DCD-37AA-4478-A663-2B6F0398552E}"/>
    <cellStyle name="RISKtandbEdge 2 3" xfId="3000" xr:uid="{7977132D-D2CE-4D8E-B92B-F78595F894B8}"/>
    <cellStyle name="RISKtandbEdge 2 3 2" xfId="3001" xr:uid="{9034C916-2D04-4784-BFF4-FE709A37537A}"/>
    <cellStyle name="RISKtandbEdge 2 3 2 2" xfId="6288" xr:uid="{AC098552-5C96-4A81-9ECA-7B0CE59B278B}"/>
    <cellStyle name="RISKtandbEdge 2 3 3" xfId="6289" xr:uid="{1463BE1E-72A0-4D6F-B5BC-483C7CF9DB72}"/>
    <cellStyle name="RISKtandbEdge 2 4" xfId="3002" xr:uid="{EB4529F4-BC12-4AA2-ACDE-20D40F655BEC}"/>
    <cellStyle name="RISKtandbEdge 2 4 2" xfId="3003" xr:uid="{9DA59DBC-180D-461E-9E23-6917C0735980}"/>
    <cellStyle name="RISKtandbEdge 2 4 2 2" xfId="6290" xr:uid="{0DBC43C0-B03D-471A-807B-EFE1CCB852C0}"/>
    <cellStyle name="RISKtandbEdge 2 4 3" xfId="6291" xr:uid="{5F78B7DB-47DA-48DE-8601-12384E1E41E5}"/>
    <cellStyle name="RISKtandbEdge 2 5" xfId="3004" xr:uid="{B6D638FC-2EA5-4481-94BF-1E090DAF46B9}"/>
    <cellStyle name="RISKtandbEdge 2 5 2" xfId="6292" xr:uid="{4D6F2D87-026E-4472-AEF5-F2B21AFD1F47}"/>
    <cellStyle name="RISKtandbEdge 2 6" xfId="3005" xr:uid="{8826DDD4-E9BD-4263-B281-CFDCE51C2B32}"/>
    <cellStyle name="RISKtandbEdge 2 6 2" xfId="6293" xr:uid="{307753A1-3F99-48C9-92F6-AABC2A81EC45}"/>
    <cellStyle name="RISKtandbEdge 2 7" xfId="6294" xr:uid="{0EE2AEDB-F0C6-4B57-9932-352E75608A1C}"/>
    <cellStyle name="RISKtandbEdge 3" xfId="3006" xr:uid="{16CB2B06-215B-42AD-95AD-ACBEACE9CEE3}"/>
    <cellStyle name="RISKtandbEdge 3 2" xfId="3007" xr:uid="{77E3E4AA-F767-475C-847A-0B8AFF2688A9}"/>
    <cellStyle name="RISKtandbEdge 3 2 2" xfId="3008" xr:uid="{8E98C791-7013-4AFE-A693-7355E5583C98}"/>
    <cellStyle name="RISKtandbEdge 3 2 2 2" xfId="6295" xr:uid="{76D11B22-DFD0-4049-8E4A-03AD67095DC9}"/>
    <cellStyle name="RISKtandbEdge 3 2 3" xfId="6296" xr:uid="{1FB30F39-F45E-43AA-A38C-F3CFA92290D1}"/>
    <cellStyle name="RISKtandbEdge 3 3" xfId="3009" xr:uid="{F2243069-AA75-4AFB-873B-87756A67A8C3}"/>
    <cellStyle name="RISKtandbEdge 3 3 2" xfId="3010" xr:uid="{0AF6B946-15D9-4497-B09D-AD8FAECB72A6}"/>
    <cellStyle name="RISKtandbEdge 3 3 2 2" xfId="6297" xr:uid="{84FEF83C-456A-40F0-9977-D4D4EF6E2503}"/>
    <cellStyle name="RISKtandbEdge 3 3 3" xfId="6298" xr:uid="{C9171DC2-47D7-4910-BA93-DE1F1523A2C4}"/>
    <cellStyle name="RISKtandbEdge 3 4" xfId="3011" xr:uid="{E6C27FB5-9560-4BCD-81C6-2AAA6B0AEAA3}"/>
    <cellStyle name="RISKtandbEdge 3 4 2" xfId="3012" xr:uid="{439C17B4-FB5C-44CC-A53E-5ADA09997CB4}"/>
    <cellStyle name="RISKtandbEdge 3 4 2 2" xfId="6299" xr:uid="{54AE8C45-0C19-40F8-880D-B09BC606842F}"/>
    <cellStyle name="RISKtandbEdge 3 4 3" xfId="6300" xr:uid="{D51B09D9-74E6-4B3D-B32D-15A8E9E31808}"/>
    <cellStyle name="RISKtandbEdge 3 5" xfId="3013" xr:uid="{17638BBE-1969-4FB6-9737-A55AE95B2C72}"/>
    <cellStyle name="RISKtandbEdge 3 5 2" xfId="6301" xr:uid="{F68BC0C2-F386-4993-A305-05EFAADB32C5}"/>
    <cellStyle name="RISKtandbEdge 3 6" xfId="3014" xr:uid="{8B612A09-9C53-4BCF-9317-FACA4B3FE316}"/>
    <cellStyle name="RISKtandbEdge 3 6 2" xfId="6302" xr:uid="{BB511BEB-A1C0-4CAE-8C94-08AD11B896C1}"/>
    <cellStyle name="RISKtandbEdge 3 7" xfId="6303" xr:uid="{ED06F704-9642-464D-BF3D-C407BBA5BBB4}"/>
    <cellStyle name="RISKtandbEdge 4" xfId="3015" xr:uid="{70A1D025-8C80-4A96-99B6-BC84EC7E781B}"/>
    <cellStyle name="RISKtandbEdge 4 2" xfId="3016" xr:uid="{4A94768B-CD82-4C7E-AAF2-6411501E9D06}"/>
    <cellStyle name="RISKtandbEdge 4 2 2" xfId="3017" xr:uid="{CB32EE0C-A4BD-4A59-81B1-3B960EA003EA}"/>
    <cellStyle name="RISKtandbEdge 4 2 2 2" xfId="6304" xr:uid="{EFF8A60A-886F-4965-86D0-957BE9904403}"/>
    <cellStyle name="RISKtandbEdge 4 2 3" xfId="6305" xr:uid="{85D705A2-D8AE-4D10-9CD5-7071050ED8D5}"/>
    <cellStyle name="RISKtandbEdge 4 3" xfId="3018" xr:uid="{D44DDFF4-32E9-418C-8F31-F3206711F5AA}"/>
    <cellStyle name="RISKtandbEdge 4 3 2" xfId="3019" xr:uid="{37F1956A-61A6-486B-87CD-C33A975C49E8}"/>
    <cellStyle name="RISKtandbEdge 4 3 2 2" xfId="6306" xr:uid="{4A475845-BC23-4D88-A9C3-5DB466021DA5}"/>
    <cellStyle name="RISKtandbEdge 4 3 3" xfId="6307" xr:uid="{FDFCC535-AF9A-4536-9DF5-F4CC42EB6D48}"/>
    <cellStyle name="RISKtandbEdge 4 4" xfId="3020" xr:uid="{4416DE7F-A0F1-43BA-B058-D6736851B194}"/>
    <cellStyle name="RISKtandbEdge 4 4 2" xfId="3021" xr:uid="{9C898DEC-A9A4-4E72-A0EB-1717F070C2F1}"/>
    <cellStyle name="RISKtandbEdge 4 4 2 2" xfId="6308" xr:uid="{A2A1BE6E-BC93-4C7C-801E-52E673DF87B7}"/>
    <cellStyle name="RISKtandbEdge 4 4 3" xfId="6309" xr:uid="{F111AA60-43A8-4CFC-9AC4-44E2749F1AC7}"/>
    <cellStyle name="RISKtandbEdge 4 5" xfId="3022" xr:uid="{0544F407-2FED-41B2-B8CD-BD1B12ACC424}"/>
    <cellStyle name="RISKtandbEdge 4 5 2" xfId="6310" xr:uid="{B9E1DB47-CDC9-4C80-A062-6AF1278F4FEB}"/>
    <cellStyle name="RISKtandbEdge 4 6" xfId="3023" xr:uid="{F0E8DC31-7FA8-4C23-99DB-5E729C73BAAF}"/>
    <cellStyle name="RISKtandbEdge 4 6 2" xfId="6311" xr:uid="{ABC351C5-9EBF-4813-BB5F-EC588BCD2C17}"/>
    <cellStyle name="RISKtandbEdge 4 7" xfId="6312" xr:uid="{848EC2AB-18DE-4E29-9B02-651C44BF0830}"/>
    <cellStyle name="RISKtandbEdge 5" xfId="3024" xr:uid="{2CC6C33E-D174-4AE1-9EF2-469EBC02B5EB}"/>
    <cellStyle name="RISKtandbEdge 5 2" xfId="6313" xr:uid="{152BFAD3-150E-4EB7-9078-DAE266C00B77}"/>
    <cellStyle name="RISKtandbEdge 6" xfId="3025" xr:uid="{C9493D82-5507-42E4-B403-9F25D1068CE2}"/>
    <cellStyle name="RISKtandbEdge 6 2" xfId="6314" xr:uid="{5788A16F-9483-4496-9A06-F5836B9E0064}"/>
    <cellStyle name="RISKtandbEdge 7" xfId="3026" xr:uid="{E81DC9A3-5190-49EB-8980-D1A59ECFD0DD}"/>
    <cellStyle name="RISKtandbEdge 7 2" xfId="6315" xr:uid="{21CB5C51-2C00-405B-B295-5794A2DD27B6}"/>
    <cellStyle name="RISKtandbEdge 8" xfId="6316" xr:uid="{7702A731-32D0-4000-9F72-E36421A0FFF0}"/>
    <cellStyle name="RISKtandbEdge_PyG" xfId="3027" xr:uid="{1BC2250B-4485-47E6-9D35-B3A50C523047}"/>
    <cellStyle name="RISKtlandrEdge" xfId="3028" xr:uid="{7A38525C-2064-41DB-A2CD-F6229683DA9C}"/>
    <cellStyle name="RISKtlandrEdge 2" xfId="3029" xr:uid="{ACDF20AA-C19B-4B4A-A807-8225A856A60A}"/>
    <cellStyle name="RISKtlandrEdge 2 2" xfId="3030" xr:uid="{7240FA00-5533-4F72-9535-35BDB88E2683}"/>
    <cellStyle name="RISKtlandrEdge 2 2 2" xfId="3031" xr:uid="{3EE087DA-FD4B-4E96-932C-5151865C12B6}"/>
    <cellStyle name="RISKtlandrEdge 2 2 2 2" xfId="6317" xr:uid="{1C32E26D-2763-4992-BAF8-CCBCDD7887AE}"/>
    <cellStyle name="RISKtlandrEdge 2 2 3" xfId="6318" xr:uid="{4218DFD7-4478-4253-8AC9-86973E1BD19D}"/>
    <cellStyle name="RISKtlandrEdge 2 3" xfId="3032" xr:uid="{0B12A0CC-4871-4CA0-BA1C-58E4DF3F6E72}"/>
    <cellStyle name="RISKtlandrEdge 2 3 2" xfId="3033" xr:uid="{904BE4D0-B996-4F05-A618-50678A6C9728}"/>
    <cellStyle name="RISKtlandrEdge 2 3 2 2" xfId="6319" xr:uid="{435BA085-A813-431E-AA1B-88849CEEE33A}"/>
    <cellStyle name="RISKtlandrEdge 2 3 3" xfId="6320" xr:uid="{2DDEB74F-3A7B-45EE-A151-AED2FCA73266}"/>
    <cellStyle name="RISKtlandrEdge 2 4" xfId="3034" xr:uid="{B7A3A30B-6BDF-4821-822F-FD124894365A}"/>
    <cellStyle name="RISKtlandrEdge 2 4 2" xfId="3035" xr:uid="{A8E22493-A239-4FB1-ADA6-E100869233A5}"/>
    <cellStyle name="RISKtlandrEdge 2 4 2 2" xfId="6321" xr:uid="{AA87C0AB-2259-4C03-BF16-22193B3454C2}"/>
    <cellStyle name="RISKtlandrEdge 2 4 3" xfId="6322" xr:uid="{EECD5549-3850-4871-B15A-433F95581BF8}"/>
    <cellStyle name="RISKtlandrEdge 2 5" xfId="3036" xr:uid="{E6FC1CFD-EB82-4156-B64A-796A9A078536}"/>
    <cellStyle name="RISKtlandrEdge 2 5 2" xfId="6323" xr:uid="{DE1A8C48-F92E-4C97-A39A-9F7A0B506B0B}"/>
    <cellStyle name="RISKtlandrEdge 2 6" xfId="3037" xr:uid="{D91BF2FB-0182-464E-A334-784BC7EA7250}"/>
    <cellStyle name="RISKtlandrEdge 2 6 2" xfId="6324" xr:uid="{8D4B2909-31BC-4936-A5A0-A7F7D922034C}"/>
    <cellStyle name="RISKtlandrEdge 2 7" xfId="6325" xr:uid="{57F4F286-F1C4-43F7-AD8A-5BDA0EBF2E28}"/>
    <cellStyle name="RISKtlandrEdge 3" xfId="3038" xr:uid="{121CC1BF-83E0-4063-A505-2BAE5E90D50A}"/>
    <cellStyle name="RISKtlandrEdge 3 2" xfId="3039" xr:uid="{A84E2867-76A5-4282-95A9-1AB377F2E8CA}"/>
    <cellStyle name="RISKtlandrEdge 3 2 2" xfId="3040" xr:uid="{D88640AA-A181-4D1C-905C-D345FEB4448A}"/>
    <cellStyle name="RISKtlandrEdge 3 2 2 2" xfId="6326" xr:uid="{720CCF0F-3369-4CD4-9788-B4BBF1A94CE2}"/>
    <cellStyle name="RISKtlandrEdge 3 2 3" xfId="6327" xr:uid="{D526FC70-B0BF-415A-8724-2788D91706B6}"/>
    <cellStyle name="RISKtlandrEdge 3 3" xfId="3041" xr:uid="{87E46A9C-1F77-42E8-90AB-D4CDA6A8A22F}"/>
    <cellStyle name="RISKtlandrEdge 3 3 2" xfId="3042" xr:uid="{6F9567BA-7D95-456D-9403-FD2F3801FC70}"/>
    <cellStyle name="RISKtlandrEdge 3 3 2 2" xfId="6328" xr:uid="{ED00284C-6C32-4AE4-BBE4-81430EEE395E}"/>
    <cellStyle name="RISKtlandrEdge 3 3 3" xfId="6329" xr:uid="{8513C6D5-3EDF-49B9-B4B9-C60E73A27768}"/>
    <cellStyle name="RISKtlandrEdge 3 4" xfId="3043" xr:uid="{6233CC0C-AAC5-4E39-9345-6D06299ADFF1}"/>
    <cellStyle name="RISKtlandrEdge 3 4 2" xfId="3044" xr:uid="{08061846-959C-4E7A-B412-E9727FBF0EDB}"/>
    <cellStyle name="RISKtlandrEdge 3 4 2 2" xfId="6330" xr:uid="{AB272606-A01E-4A01-9472-8A4E39DA6181}"/>
    <cellStyle name="RISKtlandrEdge 3 4 3" xfId="6331" xr:uid="{1FDFF7B8-0FA3-4C31-8E1F-7E25BB4F4581}"/>
    <cellStyle name="RISKtlandrEdge 3 5" xfId="3045" xr:uid="{B300CAEB-4392-4F7D-B819-5B00F34E4EBD}"/>
    <cellStyle name="RISKtlandrEdge 3 5 2" xfId="6332" xr:uid="{706F062F-9AED-4928-BA8D-1E97575FB21E}"/>
    <cellStyle name="RISKtlandrEdge 3 6" xfId="3046" xr:uid="{8E25A722-A178-480D-9BFF-23DE8BF94591}"/>
    <cellStyle name="RISKtlandrEdge 3 6 2" xfId="6333" xr:uid="{C06350B9-141A-4FDC-988E-14321DF33BBB}"/>
    <cellStyle name="RISKtlandrEdge 3 7" xfId="6334" xr:uid="{5C34C65C-7681-41AE-B4A6-D8534DC8C0A6}"/>
    <cellStyle name="RISKtlandrEdge 4" xfId="3047" xr:uid="{B149103D-56EE-4F6A-A331-9A0E8EE70E7A}"/>
    <cellStyle name="RISKtlandrEdge 4 2" xfId="3048" xr:uid="{76082689-121D-4E10-A255-FE70D456EA04}"/>
    <cellStyle name="RISKtlandrEdge 4 2 2" xfId="3049" xr:uid="{37F15E98-B4BF-4928-9604-D5E6D96E42D7}"/>
    <cellStyle name="RISKtlandrEdge 4 2 2 2" xfId="6335" xr:uid="{4ABC22DC-E234-4BE3-9324-63F371BE8ED2}"/>
    <cellStyle name="RISKtlandrEdge 4 2 3" xfId="6336" xr:uid="{B152A6A5-EAC0-42BD-8D15-74173E5DB6F2}"/>
    <cellStyle name="RISKtlandrEdge 4 3" xfId="3050" xr:uid="{9510D925-D021-498A-842B-6800674452F3}"/>
    <cellStyle name="RISKtlandrEdge 4 3 2" xfId="3051" xr:uid="{B9E39039-803E-44ED-B983-72DD1963CFE4}"/>
    <cellStyle name="RISKtlandrEdge 4 3 2 2" xfId="6337" xr:uid="{E62AB258-7E77-4337-AC14-CA45C26FF3FB}"/>
    <cellStyle name="RISKtlandrEdge 4 3 3" xfId="6338" xr:uid="{46AC62F6-1F5B-4441-AC8C-654774E64BB9}"/>
    <cellStyle name="RISKtlandrEdge 4 4" xfId="3052" xr:uid="{30EACB42-6717-4A5E-9E33-40C4F2D844E7}"/>
    <cellStyle name="RISKtlandrEdge 4 4 2" xfId="3053" xr:uid="{ABFDFAF5-5137-4590-ACD9-980935F90F91}"/>
    <cellStyle name="RISKtlandrEdge 4 4 2 2" xfId="6339" xr:uid="{ABDD7266-AF41-40CC-85FD-B38459892FF6}"/>
    <cellStyle name="RISKtlandrEdge 4 4 3" xfId="6340" xr:uid="{0A6F4233-D6ED-4573-9104-DCC740A39450}"/>
    <cellStyle name="RISKtlandrEdge 4 5" xfId="3054" xr:uid="{DF308EC5-FB3C-4603-9E2A-AFA059F2AEAF}"/>
    <cellStyle name="RISKtlandrEdge 4 5 2" xfId="6341" xr:uid="{26CC34EF-02AC-4E3D-872F-7A3E27F5520C}"/>
    <cellStyle name="RISKtlandrEdge 4 6" xfId="3055" xr:uid="{899B0BAC-A1FA-4AD9-959E-85199E77E140}"/>
    <cellStyle name="RISKtlandrEdge 4 6 2" xfId="6342" xr:uid="{30A0C214-804A-4BB8-B05A-BFD220854666}"/>
    <cellStyle name="RISKtlandrEdge 4 7" xfId="6343" xr:uid="{C5561E59-BDB8-414A-B36C-C8711E8B468E}"/>
    <cellStyle name="RISKtlandrEdge 5" xfId="3056" xr:uid="{8F036457-5FFF-4032-9626-34E976960175}"/>
    <cellStyle name="RISKtlandrEdge 5 2" xfId="6344" xr:uid="{83097A14-0315-4DDC-B144-F28488F3841A}"/>
    <cellStyle name="RISKtlandrEdge 6" xfId="3057" xr:uid="{323C563A-D828-408A-B3EC-1B5B8C3D662A}"/>
    <cellStyle name="RISKtlandrEdge 6 2" xfId="6345" xr:uid="{9C091B54-9008-4E60-BD92-05D4DF88FED7}"/>
    <cellStyle name="RISKtlandrEdge 7" xfId="3058" xr:uid="{16435207-D23C-4EDA-946D-1C6C74C81FC8}"/>
    <cellStyle name="RISKtlandrEdge 7 2" xfId="6346" xr:uid="{8DF1A6BD-CD59-4D2B-8C43-15AA5E765A5D}"/>
    <cellStyle name="RISKtlandrEdge 8" xfId="6347" xr:uid="{F50A1A5B-AD44-405E-9DD2-2A96505F1AF2}"/>
    <cellStyle name="RISKtlandrEdge_PyG" xfId="3059" xr:uid="{ED5EBB21-423F-456D-810F-6BAF357ED60B}"/>
    <cellStyle name="RISKtlCorner" xfId="3060" xr:uid="{8533D60B-ECC9-4B66-898E-729BAB95FEC6}"/>
    <cellStyle name="RISKtlCorner 2" xfId="3061" xr:uid="{FCB7D1CB-5333-4A89-A6C0-6A4AB6F299A7}"/>
    <cellStyle name="RISKtlCorner 2 2" xfId="3062" xr:uid="{9A104217-8CE3-47D6-A8D1-F4320A155F19}"/>
    <cellStyle name="RISKtlCorner 2 2 2" xfId="3063" xr:uid="{3C78F932-16FE-4954-B581-4327BAE1E323}"/>
    <cellStyle name="RISKtlCorner 2 2 2 2" xfId="6348" xr:uid="{68D91321-6CE5-4E82-97E8-84D96D44552E}"/>
    <cellStyle name="RISKtlCorner 2 2 3" xfId="6349" xr:uid="{C37D8F7F-1059-4571-B297-C806B7C9D6A1}"/>
    <cellStyle name="RISKtlCorner 2 3" xfId="3064" xr:uid="{22E012BC-1C0C-45FB-891F-8DE29BCBD696}"/>
    <cellStyle name="RISKtlCorner 2 3 2" xfId="3065" xr:uid="{2D319C19-E308-46CB-A838-B1E176F63D24}"/>
    <cellStyle name="RISKtlCorner 2 3 2 2" xfId="6350" xr:uid="{83B31F73-28E4-49E9-A5D3-590126BEFE46}"/>
    <cellStyle name="RISKtlCorner 2 3 3" xfId="6351" xr:uid="{9B87E48B-7B22-498A-AE00-1AB81A178FD2}"/>
    <cellStyle name="RISKtlCorner 2 4" xfId="3066" xr:uid="{0ACB4928-DD75-473B-B593-B576B342921C}"/>
    <cellStyle name="RISKtlCorner 2 4 2" xfId="3067" xr:uid="{D47DAD52-DC4A-46AA-9C8C-75ECBFAB6988}"/>
    <cellStyle name="RISKtlCorner 2 4 2 2" xfId="6352" xr:uid="{462398E8-A841-4D9E-89AA-A22429B4871C}"/>
    <cellStyle name="RISKtlCorner 2 4 3" xfId="6353" xr:uid="{DC2B9086-71C0-404A-9BC7-00CD6DA3FFA2}"/>
    <cellStyle name="RISKtlCorner 2 5" xfId="3068" xr:uid="{84F5BB21-9802-4AB5-B603-B97325E6B9E9}"/>
    <cellStyle name="RISKtlCorner 2 5 2" xfId="6354" xr:uid="{B844A734-B2B5-40E2-9676-6E013924D394}"/>
    <cellStyle name="RISKtlCorner 2 6" xfId="3069" xr:uid="{3F62C646-423A-409B-944E-8F3E601D77F5}"/>
    <cellStyle name="RISKtlCorner 2 6 2" xfId="6355" xr:uid="{291EF7B0-E68C-45F7-9853-806C8B2EC6D9}"/>
    <cellStyle name="RISKtlCorner 2 7" xfId="6356" xr:uid="{8FAA9180-4ADD-4C41-A595-2F591F6D80F6}"/>
    <cellStyle name="RISKtlCorner 3" xfId="3070" xr:uid="{C6102B5F-676E-414C-A6F0-3A9A080CE873}"/>
    <cellStyle name="RISKtlCorner 3 2" xfId="3071" xr:uid="{20ADCC90-6DF7-466A-B9FC-C13351097338}"/>
    <cellStyle name="RISKtlCorner 3 2 2" xfId="3072" xr:uid="{6CDFA704-49CF-49AF-AE07-6856356A5E5A}"/>
    <cellStyle name="RISKtlCorner 3 2 2 2" xfId="6357" xr:uid="{8E46FDBE-BC8C-4957-BDE8-A4CC1E3CD3A4}"/>
    <cellStyle name="RISKtlCorner 3 2 3" xfId="6358" xr:uid="{8F743100-804A-4542-A9A9-F6DF247B1D8F}"/>
    <cellStyle name="RISKtlCorner 3 3" xfId="3073" xr:uid="{40149C08-1F42-4CBC-9DFC-9190E846F774}"/>
    <cellStyle name="RISKtlCorner 3 3 2" xfId="3074" xr:uid="{3C522814-DBF0-4380-818F-D4C4F3642291}"/>
    <cellStyle name="RISKtlCorner 3 3 2 2" xfId="6359" xr:uid="{A2EC82CF-DC52-45FA-B8E3-52A21F8B78BD}"/>
    <cellStyle name="RISKtlCorner 3 3 3" xfId="6360" xr:uid="{DAED894A-258F-48FF-AA00-61F441C700C1}"/>
    <cellStyle name="RISKtlCorner 3 4" xfId="3075" xr:uid="{51183CD8-EC4E-4054-8730-006421C2636B}"/>
    <cellStyle name="RISKtlCorner 3 4 2" xfId="3076" xr:uid="{81D7029D-23D8-486B-82E6-D392B6772BD1}"/>
    <cellStyle name="RISKtlCorner 3 4 2 2" xfId="6361" xr:uid="{91C90B17-A55D-41B3-BE6A-D972B07F027F}"/>
    <cellStyle name="RISKtlCorner 3 4 3" xfId="6362" xr:uid="{463891DE-6B75-4938-968F-A58A100E16E0}"/>
    <cellStyle name="RISKtlCorner 3 5" xfId="3077" xr:uid="{6D2AB263-D709-4C4F-A7CC-EDE22149C6E2}"/>
    <cellStyle name="RISKtlCorner 3 5 2" xfId="6363" xr:uid="{C300B39C-A148-46F9-86D4-43AA8BF02C58}"/>
    <cellStyle name="RISKtlCorner 3 6" xfId="3078" xr:uid="{2D337272-B939-4E83-AB69-BB86A071BF54}"/>
    <cellStyle name="RISKtlCorner 3 6 2" xfId="6364" xr:uid="{E7D5C812-2756-44FE-963A-49578D6F4255}"/>
    <cellStyle name="RISKtlCorner 3 7" xfId="6365" xr:uid="{CBB2C017-5D5E-4092-967D-E947CEC2E5C0}"/>
    <cellStyle name="RISKtlCorner 4" xfId="3079" xr:uid="{811FC108-22F7-4D8D-AD9F-2798B91B1747}"/>
    <cellStyle name="RISKtlCorner 4 2" xfId="3080" xr:uid="{8CD209BE-AC8F-4CEF-AA16-599F868395EF}"/>
    <cellStyle name="RISKtlCorner 4 2 2" xfId="3081" xr:uid="{E9D394F6-90F7-400F-BEF2-684E21B73B59}"/>
    <cellStyle name="RISKtlCorner 4 2 2 2" xfId="6366" xr:uid="{2637CF18-50B7-4E9B-A370-B02CD42E5FE3}"/>
    <cellStyle name="RISKtlCorner 4 2 3" xfId="6367" xr:uid="{0943DBAF-95EB-4216-A325-37229369F221}"/>
    <cellStyle name="RISKtlCorner 4 3" xfId="3082" xr:uid="{1E8640E3-5596-41DD-AE0F-A772A1F904FF}"/>
    <cellStyle name="RISKtlCorner 4 3 2" xfId="3083" xr:uid="{DB8F0A92-C04D-417B-97E8-FD6F8F8D53FC}"/>
    <cellStyle name="RISKtlCorner 4 3 2 2" xfId="6368" xr:uid="{F6FB485F-21D0-4C88-A760-32325B5FAC0B}"/>
    <cellStyle name="RISKtlCorner 4 3 3" xfId="6369" xr:uid="{35E57413-4CDF-40A0-BB7B-7C8AF26BD92C}"/>
    <cellStyle name="RISKtlCorner 4 4" xfId="3084" xr:uid="{8BDF879E-3C41-4AE3-8EA9-12BCF99CD882}"/>
    <cellStyle name="RISKtlCorner 4 4 2" xfId="3085" xr:uid="{B0F4C6EB-B51E-4B94-80E7-C64BBAD01EDB}"/>
    <cellStyle name="RISKtlCorner 4 4 2 2" xfId="6370" xr:uid="{DE227A53-95A2-44D2-91EF-2355A07FF36D}"/>
    <cellStyle name="RISKtlCorner 4 4 3" xfId="6371" xr:uid="{A74563EF-FB0C-4224-9EEC-58FA6201D579}"/>
    <cellStyle name="RISKtlCorner 4 5" xfId="3086" xr:uid="{327BC5F8-6E98-48C3-BBD7-E896B19F7201}"/>
    <cellStyle name="RISKtlCorner 4 5 2" xfId="6372" xr:uid="{D8730A9D-B639-40AB-9191-9686AEBCB065}"/>
    <cellStyle name="RISKtlCorner 4 6" xfId="3087" xr:uid="{D113FFCC-3B05-471A-9B53-EB0DBDDC82E3}"/>
    <cellStyle name="RISKtlCorner 4 6 2" xfId="6373" xr:uid="{5277AD84-7869-4803-ABBC-C770EC45CDBF}"/>
    <cellStyle name="RISKtlCorner 4 7" xfId="6374" xr:uid="{BDA939FE-9EBD-45F3-886D-68D35BFF6310}"/>
    <cellStyle name="RISKtlCorner 5" xfId="3088" xr:uid="{14520BE1-CF76-48D9-86AD-D3604667B432}"/>
    <cellStyle name="RISKtlCorner 5 2" xfId="6375" xr:uid="{39DE6E36-5FDB-4898-BE43-F584AE1D949D}"/>
    <cellStyle name="RISKtlCorner 6" xfId="3089" xr:uid="{58474703-E522-4938-8126-BE433292D1F4}"/>
    <cellStyle name="RISKtlCorner 6 2" xfId="6376" xr:uid="{8527140C-CEF0-46D3-B0C4-8EE9C1D8FCD7}"/>
    <cellStyle name="RISKtlCorner 7" xfId="3090" xr:uid="{A76AA6CF-A0B3-4335-B7E9-704C941481B8}"/>
    <cellStyle name="RISKtlCorner 7 2" xfId="6377" xr:uid="{9B84F345-F6C7-4F92-B2B1-FB5C811E6229}"/>
    <cellStyle name="RISKtlCorner 8" xfId="6378" xr:uid="{7C5007D1-99F8-4753-88D5-D2226D3756B3}"/>
    <cellStyle name="RISKtlCorner_PyG" xfId="3091" xr:uid="{C3C70CF9-51EC-4241-971F-BE3BAB7F2E79}"/>
    <cellStyle name="RISKtopEdge" xfId="3092" xr:uid="{1C31BBA3-2798-4C63-AAD3-02FECA94E1AB}"/>
    <cellStyle name="RISKtopEdge 2" xfId="3093" xr:uid="{D5A7BB43-5C96-466D-AACD-CAFDFE111A5E}"/>
    <cellStyle name="RISKtopEdge 2 2" xfId="3094" xr:uid="{58311A10-A416-4155-BA71-A613C217381C}"/>
    <cellStyle name="RISKtopEdge 2 2 2" xfId="3095" xr:uid="{B7512FB6-E692-441B-8AC8-83A00A568D9B}"/>
    <cellStyle name="RISKtopEdge 2 2 2 2" xfId="6379" xr:uid="{D15FFDC9-E805-4991-B38F-749FBF9C6C31}"/>
    <cellStyle name="RISKtopEdge 2 2 3" xfId="6380" xr:uid="{ECC0E74B-8153-48F0-B3F2-0A155E981A30}"/>
    <cellStyle name="RISKtopEdge 2 3" xfId="3096" xr:uid="{103DFEA2-A35A-40F2-BE12-74C7D34BE84F}"/>
    <cellStyle name="RISKtopEdge 2 3 2" xfId="3097" xr:uid="{C254DB64-65F1-418A-9694-1FB4A3AE8CB6}"/>
    <cellStyle name="RISKtopEdge 2 3 2 2" xfId="6381" xr:uid="{73CB66E6-6886-411A-873E-546809DC10B6}"/>
    <cellStyle name="RISKtopEdge 2 3 3" xfId="6382" xr:uid="{5EC90D5F-057F-41DF-A40C-4A091C5A6179}"/>
    <cellStyle name="RISKtopEdge 2 4" xfId="3098" xr:uid="{8D4E071D-F578-4EDE-9D0C-FD4AAB03124B}"/>
    <cellStyle name="RISKtopEdge 2 4 2" xfId="3099" xr:uid="{3BF00EC4-55D0-453B-8031-0BFE7D7DC9EC}"/>
    <cellStyle name="RISKtopEdge 2 4 2 2" xfId="6383" xr:uid="{B757060E-1FB7-4D47-BFC9-C1CA1E33735C}"/>
    <cellStyle name="RISKtopEdge 2 4 3" xfId="6384" xr:uid="{209241EF-F1B1-4243-AD20-ED6C906AFEF8}"/>
    <cellStyle name="RISKtopEdge 2 5" xfId="3100" xr:uid="{C229B0B0-1B3E-405A-B044-6BEDCCC38878}"/>
    <cellStyle name="RISKtopEdge 2 5 2" xfId="6385" xr:uid="{7BD30F45-D72D-4B62-9B95-202C1B370C02}"/>
    <cellStyle name="RISKtopEdge 2 6" xfId="3101" xr:uid="{34B22FA9-5CA4-4F78-856A-3D5126AFAD8D}"/>
    <cellStyle name="RISKtopEdge 2 6 2" xfId="6386" xr:uid="{ED1F6F85-7918-4768-AC0B-D61FCA943E3F}"/>
    <cellStyle name="RISKtopEdge 2 7" xfId="6387" xr:uid="{BF38EFD5-20EF-477E-85A4-DC439C2371E1}"/>
    <cellStyle name="RISKtopEdge 3" xfId="3102" xr:uid="{C3FBD69B-0891-4F58-83C1-996023C02B5D}"/>
    <cellStyle name="RISKtopEdge 3 2" xfId="3103" xr:uid="{5147CD48-2BF5-4B9C-930B-8FCEC42DE059}"/>
    <cellStyle name="RISKtopEdge 3 2 2" xfId="3104" xr:uid="{DC919EDD-6D7E-4C1E-8708-A9F355C7B2F0}"/>
    <cellStyle name="RISKtopEdge 3 2 2 2" xfId="6388" xr:uid="{F31F6FC7-94E3-4620-93BD-0DB281E4125E}"/>
    <cellStyle name="RISKtopEdge 3 2 3" xfId="6389" xr:uid="{7B059F80-7A6F-4FF7-AA63-7FDF23583E7B}"/>
    <cellStyle name="RISKtopEdge 3 3" xfId="3105" xr:uid="{BBEA7F45-0668-4447-B5C9-4F4856B6C1D5}"/>
    <cellStyle name="RISKtopEdge 3 3 2" xfId="3106" xr:uid="{C6512F4B-58E3-4DD6-902A-F579EE458600}"/>
    <cellStyle name="RISKtopEdge 3 3 2 2" xfId="6390" xr:uid="{7722F734-D6E0-42B2-8DAC-60EC5E154FA0}"/>
    <cellStyle name="RISKtopEdge 3 3 3" xfId="6391" xr:uid="{529105AA-17BE-414D-8A55-4FC7D00AD1E9}"/>
    <cellStyle name="RISKtopEdge 3 4" xfId="3107" xr:uid="{F8357694-2864-4715-AB76-7298180F46A4}"/>
    <cellStyle name="RISKtopEdge 3 4 2" xfId="3108" xr:uid="{F00539FB-2FD0-471D-A5A0-D9428B71B9C0}"/>
    <cellStyle name="RISKtopEdge 3 4 2 2" xfId="6392" xr:uid="{CD29F7AF-FC99-4BE9-A399-02B9AAAA10E9}"/>
    <cellStyle name="RISKtopEdge 3 4 3" xfId="6393" xr:uid="{EFBD5675-16E4-4B93-AE84-3670DA917A83}"/>
    <cellStyle name="RISKtopEdge 3 5" xfId="3109" xr:uid="{59A5545F-D448-4337-A3C1-3CD20B3C6498}"/>
    <cellStyle name="RISKtopEdge 3 5 2" xfId="6394" xr:uid="{0BE66958-1C9A-4328-8E94-CE8BA9E41FF3}"/>
    <cellStyle name="RISKtopEdge 3 6" xfId="3110" xr:uid="{958F1DC8-FCDB-457B-BB5F-18861CE4E97A}"/>
    <cellStyle name="RISKtopEdge 3 6 2" xfId="6395" xr:uid="{055BE29C-AD8F-42A5-8282-53ABDD6AC05C}"/>
    <cellStyle name="RISKtopEdge 3 7" xfId="6396" xr:uid="{664A160E-5749-4A5C-BCCB-72EBB5B4B408}"/>
    <cellStyle name="RISKtopEdge 4" xfId="3111" xr:uid="{DF0FD22D-3741-4EC5-A2BF-76667F5EC33D}"/>
    <cellStyle name="RISKtopEdge 4 2" xfId="3112" xr:uid="{2B724AB1-1C4C-4553-96F2-7CFB81273B7C}"/>
    <cellStyle name="RISKtopEdge 4 2 2" xfId="3113" xr:uid="{5AA93362-4474-4333-824D-BA9115780639}"/>
    <cellStyle name="RISKtopEdge 4 2 2 2" xfId="6397" xr:uid="{44F5495C-7C23-491C-97E1-68EAC963942D}"/>
    <cellStyle name="RISKtopEdge 4 2 3" xfId="6398" xr:uid="{1FB1A2F3-3803-43E6-B92C-7B39FF16B2B5}"/>
    <cellStyle name="RISKtopEdge 4 3" xfId="3114" xr:uid="{67A3302C-1362-47BB-9109-760A4320103D}"/>
    <cellStyle name="RISKtopEdge 4 3 2" xfId="3115" xr:uid="{4E992BE9-1A33-48F8-9957-88C718F0702B}"/>
    <cellStyle name="RISKtopEdge 4 3 2 2" xfId="6399" xr:uid="{85B32944-8021-47E5-8DC5-61320CBAFBA1}"/>
    <cellStyle name="RISKtopEdge 4 3 3" xfId="6400" xr:uid="{B372289B-AAAF-49EC-A7F1-AC6D08A427D0}"/>
    <cellStyle name="RISKtopEdge 4 4" xfId="3116" xr:uid="{5E6D0974-8213-4FE2-85CE-54CF8FA343BA}"/>
    <cellStyle name="RISKtopEdge 4 4 2" xfId="3117" xr:uid="{73974EBC-95D0-445A-8644-378EE435422F}"/>
    <cellStyle name="RISKtopEdge 4 4 2 2" xfId="6401" xr:uid="{1397BE8E-4DD4-4ADD-873C-EACBBA43210A}"/>
    <cellStyle name="RISKtopEdge 4 4 3" xfId="6402" xr:uid="{966F2DF1-4EA8-43EB-94D9-21F9F0706E46}"/>
    <cellStyle name="RISKtopEdge 4 5" xfId="3118" xr:uid="{9028B8EB-D565-4970-A42C-730BFD4A7C60}"/>
    <cellStyle name="RISKtopEdge 4 5 2" xfId="6403" xr:uid="{19F6934C-A435-496A-8082-9AAC8CCAF652}"/>
    <cellStyle name="RISKtopEdge 4 6" xfId="3119" xr:uid="{CD3C0A48-864D-4A18-A0C4-9351DDFD07DA}"/>
    <cellStyle name="RISKtopEdge 4 6 2" xfId="6404" xr:uid="{89EDB024-1517-4FAA-9D24-5226AA2DEE98}"/>
    <cellStyle name="RISKtopEdge 4 7" xfId="6405" xr:uid="{04672748-20F6-4CAC-8603-2926F8C7D9EF}"/>
    <cellStyle name="RISKtopEdge 5" xfId="3120" xr:uid="{897B4BEA-6BE1-44E3-8DF5-93A05433CC37}"/>
    <cellStyle name="RISKtopEdge 5 2" xfId="6406" xr:uid="{6025ABC7-F504-4C90-8A1F-E97DD716D2F6}"/>
    <cellStyle name="RISKtopEdge 6" xfId="3121" xr:uid="{B6D455F6-7A4B-4D90-BF5D-64296DEBB488}"/>
    <cellStyle name="RISKtopEdge 6 2" xfId="6407" xr:uid="{3A34D7F1-4FC5-4B0F-8D8C-5C1431C6A759}"/>
    <cellStyle name="RISKtopEdge 7" xfId="3122" xr:uid="{B7263CA0-CF9E-484D-A9E7-B8DEA48AA3C2}"/>
    <cellStyle name="RISKtopEdge 7 2" xfId="6408" xr:uid="{651B51A2-474C-45A6-9FCA-D4137797B66B}"/>
    <cellStyle name="RISKtopEdge 8" xfId="6409" xr:uid="{8B410558-2E22-4108-963F-49E1C8F1579B}"/>
    <cellStyle name="RISKtopEdge_PyG" xfId="3123" xr:uid="{C5EB915F-C4B6-4FF6-B04E-7696ADC5658E}"/>
    <cellStyle name="RISKtrCorner" xfId="3124" xr:uid="{08FE9CC9-8902-4F76-B7C4-3B52F00FAFED}"/>
    <cellStyle name="RISKtrCorner 2" xfId="3125" xr:uid="{7407B60B-0C18-46D7-BCA3-AED143C22A35}"/>
    <cellStyle name="RISKtrCorner 2 2" xfId="3126" xr:uid="{CF1330BA-A4AB-40D4-A8E4-0C1E036A8894}"/>
    <cellStyle name="RISKtrCorner 2 2 2" xfId="3127" xr:uid="{55024E20-5F93-42CD-84DC-F79BC78D1078}"/>
    <cellStyle name="RISKtrCorner 2 2 2 2" xfId="6410" xr:uid="{BDF68234-BAC5-45B7-BE9A-6B16B8CCAEFE}"/>
    <cellStyle name="RISKtrCorner 2 2 3" xfId="6411" xr:uid="{88733830-E1EA-4249-B4F5-3933F7D8E8E1}"/>
    <cellStyle name="RISKtrCorner 2 3" xfId="3128" xr:uid="{3C0F27B0-8332-4D26-8E7D-6C448A1BC2E3}"/>
    <cellStyle name="RISKtrCorner 2 3 2" xfId="3129" xr:uid="{73D89480-0D9E-418D-90CF-961CD82D4799}"/>
    <cellStyle name="RISKtrCorner 2 3 2 2" xfId="6412" xr:uid="{084BF620-152C-4B33-98FE-C8C65572FB92}"/>
    <cellStyle name="RISKtrCorner 2 3 3" xfId="6413" xr:uid="{560BDDD0-E9CF-4022-ABCE-736AD33DA9DB}"/>
    <cellStyle name="RISKtrCorner 2 4" xfId="3130" xr:uid="{FEA0BB88-B46C-4B02-A5EB-15E98B98E243}"/>
    <cellStyle name="RISKtrCorner 2 4 2" xfId="3131" xr:uid="{FBB549D4-BCA8-486D-89A9-ED0FE7627B52}"/>
    <cellStyle name="RISKtrCorner 2 4 2 2" xfId="6414" xr:uid="{17828B5A-0BEB-46C1-8AE7-090B4635BA0C}"/>
    <cellStyle name="RISKtrCorner 2 4 3" xfId="6415" xr:uid="{2CCCF063-9374-4145-AFC4-BE72302DBA3B}"/>
    <cellStyle name="RISKtrCorner 2 5" xfId="3132" xr:uid="{08F25F25-20DB-4422-8B85-3C525772D664}"/>
    <cellStyle name="RISKtrCorner 2 5 2" xfId="6416" xr:uid="{D318877E-FB0B-4F3F-8D8C-55FA5E9F8ACA}"/>
    <cellStyle name="RISKtrCorner 2 6" xfId="3133" xr:uid="{3E47E26D-5CF4-40B5-BB1E-AEA1D70ABA0C}"/>
    <cellStyle name="RISKtrCorner 2 6 2" xfId="6417" xr:uid="{538C7FFB-5F32-41F8-A3EB-04E579494B81}"/>
    <cellStyle name="RISKtrCorner 2 7" xfId="6418" xr:uid="{ED80125A-ACA7-4770-9B7C-79309069833E}"/>
    <cellStyle name="RISKtrCorner 3" xfId="3134" xr:uid="{7400CA10-EB38-4E5E-B404-9B9C87950FCA}"/>
    <cellStyle name="RISKtrCorner 3 2" xfId="3135" xr:uid="{D3D5C616-8DD9-4AAD-85C3-6FCB07333EE4}"/>
    <cellStyle name="RISKtrCorner 3 2 2" xfId="3136" xr:uid="{DB7EA0E4-5DE5-49D6-9092-2ED50481CD5D}"/>
    <cellStyle name="RISKtrCorner 3 2 2 2" xfId="6419" xr:uid="{EDCD4161-8F0F-4559-BE1E-C9172399117B}"/>
    <cellStyle name="RISKtrCorner 3 2 3" xfId="6420" xr:uid="{76F8BE54-B8B7-49D4-9156-77B56CE9A847}"/>
    <cellStyle name="RISKtrCorner 3 3" xfId="3137" xr:uid="{DD319386-99BF-4C08-AF78-A04B1BEEBFF1}"/>
    <cellStyle name="RISKtrCorner 3 3 2" xfId="3138" xr:uid="{EE9F4CF9-FFC6-4710-AD1A-DFEB7AD31743}"/>
    <cellStyle name="RISKtrCorner 3 3 2 2" xfId="6421" xr:uid="{AAE155A1-B006-41DE-A11E-D596F3DBA67F}"/>
    <cellStyle name="RISKtrCorner 3 3 3" xfId="6422" xr:uid="{8CC07050-58A7-45DB-93D9-37589F0F9857}"/>
    <cellStyle name="RISKtrCorner 3 4" xfId="3139" xr:uid="{3CCD4F7B-69AA-46B4-AC06-72E822CAB3DD}"/>
    <cellStyle name="RISKtrCorner 3 4 2" xfId="3140" xr:uid="{0E7A6BBF-F5FC-42BF-8A40-D19B9896A100}"/>
    <cellStyle name="RISKtrCorner 3 4 2 2" xfId="6423" xr:uid="{D3FBF3EA-ACAB-4D17-B3E6-AA641697BE38}"/>
    <cellStyle name="RISKtrCorner 3 4 3" xfId="6424" xr:uid="{63385394-74BB-4B90-844E-D9C94E6C7730}"/>
    <cellStyle name="RISKtrCorner 3 5" xfId="3141" xr:uid="{4561D989-F156-4C76-9DC6-94BE8442DD68}"/>
    <cellStyle name="RISKtrCorner 3 5 2" xfId="6425" xr:uid="{BC9BDA8A-EDD6-4681-9163-CBED55C8F973}"/>
    <cellStyle name="RISKtrCorner 3 6" xfId="3142" xr:uid="{4C2B7ABE-C466-4B3F-9DEE-64B7A93C1F49}"/>
    <cellStyle name="RISKtrCorner 3 6 2" xfId="6426" xr:uid="{61FEFBD5-C575-401F-A78D-1606550DEB5E}"/>
    <cellStyle name="RISKtrCorner 3 7" xfId="6427" xr:uid="{E8560F33-288E-4F65-A1C6-FCA7FC518FBF}"/>
    <cellStyle name="RISKtrCorner 4" xfId="3143" xr:uid="{EDC9CFD7-25D7-45D8-A82A-2B0EDC5641C8}"/>
    <cellStyle name="RISKtrCorner 4 2" xfId="3144" xr:uid="{C5593069-D066-4B40-ADD6-7B89E01A9F16}"/>
    <cellStyle name="RISKtrCorner 4 2 2" xfId="3145" xr:uid="{0A4D59BF-0CC9-4BFE-816D-5B46240592AE}"/>
    <cellStyle name="RISKtrCorner 4 2 2 2" xfId="6428" xr:uid="{27EB8D13-F58D-4861-BE50-5D5D46ED9886}"/>
    <cellStyle name="RISKtrCorner 4 2 3" xfId="6429" xr:uid="{B7B76737-A068-4526-813C-63BAFFA3F2B7}"/>
    <cellStyle name="RISKtrCorner 4 3" xfId="3146" xr:uid="{A0FAA1AA-1BC0-49C4-84D3-F0865AE06126}"/>
    <cellStyle name="RISKtrCorner 4 3 2" xfId="3147" xr:uid="{F61049B5-C693-4BE7-9D4C-5C9DFD034233}"/>
    <cellStyle name="RISKtrCorner 4 3 2 2" xfId="6430" xr:uid="{A2D652D2-C657-48FB-AF55-EE8C72639061}"/>
    <cellStyle name="RISKtrCorner 4 3 3" xfId="6431" xr:uid="{4ECB2064-26F4-4D7D-A217-CF2125FCA1F9}"/>
    <cellStyle name="RISKtrCorner 4 4" xfId="3148" xr:uid="{CB59F0D8-8336-470C-A415-D9F8211B14AB}"/>
    <cellStyle name="RISKtrCorner 4 4 2" xfId="3149" xr:uid="{051AA069-23B9-4A70-862C-ECC8BDDD7D86}"/>
    <cellStyle name="RISKtrCorner 4 4 2 2" xfId="6432" xr:uid="{75470789-8DBC-4154-9EF0-15090473139B}"/>
    <cellStyle name="RISKtrCorner 4 4 3" xfId="6433" xr:uid="{0B4A9965-A912-4B8B-A98A-8350140E9B5E}"/>
    <cellStyle name="RISKtrCorner 4 5" xfId="3150" xr:uid="{F197785C-4F59-4819-8907-ECF970A12E6E}"/>
    <cellStyle name="RISKtrCorner 4 5 2" xfId="6434" xr:uid="{D71601B3-FAB3-4F57-BA67-49ACB76B0D7C}"/>
    <cellStyle name="RISKtrCorner 4 6" xfId="3151" xr:uid="{DD565B3C-7E8C-40DD-BEF8-2E912FA735AC}"/>
    <cellStyle name="RISKtrCorner 4 6 2" xfId="6435" xr:uid="{81C36688-24D7-4B74-9114-6703244287C9}"/>
    <cellStyle name="RISKtrCorner 4 7" xfId="6436" xr:uid="{01E3E3A1-609F-43ED-9AF2-E8EC026CC4BC}"/>
    <cellStyle name="RISKtrCorner 5" xfId="3152" xr:uid="{A89A782D-5B87-4E04-9EAA-1D0AFABE1EAB}"/>
    <cellStyle name="RISKtrCorner 5 2" xfId="6437" xr:uid="{3E45E778-BADC-400D-9AC2-D8183D9DE820}"/>
    <cellStyle name="RISKtrCorner 6" xfId="3153" xr:uid="{F60D9E81-BF08-494C-96DD-82492324F1BD}"/>
    <cellStyle name="RISKtrCorner 6 2" xfId="6438" xr:uid="{B3FB458F-B705-4F24-A711-AE5510447967}"/>
    <cellStyle name="RISKtrCorner 7" xfId="3154" xr:uid="{C9BFEFD7-A391-46D2-8D57-DADE1CF395BB}"/>
    <cellStyle name="RISKtrCorner 7 2" xfId="6439" xr:uid="{E1F1D5CA-CAD0-45F9-8B87-8A084427256E}"/>
    <cellStyle name="RISKtrCorner 8" xfId="6440" xr:uid="{69458BF0-10EF-46AE-B9DA-735D4C2FB395}"/>
    <cellStyle name="RISKtrCorner_PyG" xfId="3155" xr:uid="{8550589B-6A97-4A5B-AB4A-D4D683303083}"/>
    <cellStyle name="Saída" xfId="3156" xr:uid="{1952F7C7-14D7-44A1-9872-AACD95483DD0}"/>
    <cellStyle name="Salida 10" xfId="6441" xr:uid="{54BBE424-3147-4D9C-960A-1F17F480BB78}"/>
    <cellStyle name="Salida 11" xfId="6442" xr:uid="{F1B62CCC-D6C2-4495-BF8F-78B242A3D157}"/>
    <cellStyle name="Salida 11 2" xfId="6443" xr:uid="{A8337DD5-F225-45A5-9F75-44A47FFE2798}"/>
    <cellStyle name="Salida 12" xfId="6444" xr:uid="{0BCE38EF-8B11-46C6-8D20-744F5735C58E}"/>
    <cellStyle name="Salida 12 2" xfId="6445" xr:uid="{0A98A8D1-1EBF-46D0-8556-398365888A3E}"/>
    <cellStyle name="Salida 13" xfId="6446" xr:uid="{8480727D-293E-414F-81E6-85374BD75AF1}"/>
    <cellStyle name="Salida 13 2" xfId="6447" xr:uid="{BF3BFD63-A41C-41CD-B36C-337FDA0277F0}"/>
    <cellStyle name="Salida 14" xfId="6448" xr:uid="{8BDF4BC9-D54A-458C-A2B3-3A80708705FD}"/>
    <cellStyle name="Salida 14 2" xfId="6449" xr:uid="{843D2B20-7B0A-45D2-94F7-5B0B46777395}"/>
    <cellStyle name="Salida 15" xfId="6450" xr:uid="{4707732C-A6AA-4EC7-8C2F-B44B4AB42859}"/>
    <cellStyle name="Salida 15 2" xfId="6451" xr:uid="{CEAD42C9-73D8-4D28-A34D-2CA6F494C3E2}"/>
    <cellStyle name="Salida 16" xfId="6452" xr:uid="{B090FC9A-4AF8-4DC4-80C7-D33B2986B5F1}"/>
    <cellStyle name="Salida 2" xfId="3157" xr:uid="{7012B0B1-DF76-4EF7-8BC0-614E6ACB3F28}"/>
    <cellStyle name="Salida 2 2" xfId="3158" xr:uid="{2EB0E041-BD83-40BD-B941-E633B69917BE}"/>
    <cellStyle name="Salida 2 2 2" xfId="6453" xr:uid="{F25D867B-864E-498A-899B-6C905A3E76A5}"/>
    <cellStyle name="Salida 2 2 3" xfId="6454" xr:uid="{EFC7472F-2724-4191-A5A1-4B7602E4DCC5}"/>
    <cellStyle name="Salida 2 2 4" xfId="6455" xr:uid="{412F2F64-79FC-401A-9B7B-B4D807E4E358}"/>
    <cellStyle name="Salida 2 2 4 2" xfId="6456" xr:uid="{0FA49951-4DAD-4146-AAA5-A2975D1C6279}"/>
    <cellStyle name="Salida 2 3" xfId="6457" xr:uid="{88EF96E5-6B8E-4FC4-8825-CC8D1DD3D332}"/>
    <cellStyle name="Salida 2 4" xfId="6458" xr:uid="{EA9B9F6C-76E2-45FD-9A49-0685A3A6F1CD}"/>
    <cellStyle name="Salida 2 4 2" xfId="6459" xr:uid="{3B8BAA75-A1D3-4EA5-941F-BF11B713CC40}"/>
    <cellStyle name="Salida 2 5" xfId="6460" xr:uid="{A607EF2F-4882-4EA6-9077-18A2249A9C01}"/>
    <cellStyle name="Salida 2_GRUPO4Q-2009 COMPLETO" xfId="3641" xr:uid="{8A172A46-7D1F-4F9F-8E92-D0A9CFA6C22D}"/>
    <cellStyle name="Salida 3" xfId="3642" xr:uid="{03723163-AD11-4959-9404-817F710B5EA3}"/>
    <cellStyle name="Salida 3 2" xfId="6461" xr:uid="{CECA8DD1-D082-44FC-B8C0-DB426FA5C627}"/>
    <cellStyle name="Salida 3 3" xfId="6462" xr:uid="{283D5407-C0E9-42D5-8E71-E83C1AF9555B}"/>
    <cellStyle name="Salida 4" xfId="6463" xr:uid="{D152C175-9947-46BF-9AA5-ACBF04E7B925}"/>
    <cellStyle name="Salida 4 2" xfId="6464" xr:uid="{1D52725B-A247-4EAD-BF68-2D77998F5B07}"/>
    <cellStyle name="Salida 4 3" xfId="6465" xr:uid="{6B09749D-1F91-43D1-9CD7-78E46E1B569A}"/>
    <cellStyle name="Salida 5" xfId="6466" xr:uid="{0CFF7E14-6B31-4CCB-97D4-B4D6614348EC}"/>
    <cellStyle name="Salida 6" xfId="6467" xr:uid="{0315C59B-B94C-4016-A1CF-70ED0BF336CF}"/>
    <cellStyle name="Salida 7" xfId="6468" xr:uid="{3CC376B0-EDB2-4C11-A5C2-2A182F6CFA54}"/>
    <cellStyle name="Salida 8" xfId="6469" xr:uid="{D45B9550-0713-4BF4-A12B-452B446AE9DB}"/>
    <cellStyle name="Salida 9" xfId="6470" xr:uid="{17B89EE9-B7B3-4846-8214-8EE887974145}"/>
    <cellStyle name="SAPBorder" xfId="45" xr:uid="{2161806C-F793-425C-A1A8-901B9F14746B}"/>
    <cellStyle name="SAPBorder 2" xfId="71" xr:uid="{9B57CDDF-4E5C-4C88-9E6B-C4CB2AF0AB18}"/>
    <cellStyle name="SAPDataCell" xfId="28" xr:uid="{389CCCF4-4B38-4E6D-8BEE-EDD5602A7CB0}"/>
    <cellStyle name="SAPDataCell 2" xfId="69" xr:uid="{152C10D0-13F1-454E-974F-B2EAEDB60EE8}"/>
    <cellStyle name="SAPDataTotalCell" xfId="29" xr:uid="{D18F9BAF-D3C6-47BA-94DA-0759994700C4}"/>
    <cellStyle name="SAPDataTotalCell 2" xfId="70" xr:uid="{4889CE77-8948-450F-9382-751B68B6403D}"/>
    <cellStyle name="SAPDimensionCell" xfId="27" xr:uid="{625535B0-F815-427F-8D1E-274BD540433E}"/>
    <cellStyle name="SAPDimensionCell 2" xfId="68" xr:uid="{8D16A6C4-0F2B-47A3-B5C2-95025B68E2CA}"/>
    <cellStyle name="SAPEditableDataCell" xfId="30" xr:uid="{CC49D038-9F3C-49F1-BD9F-1659F55CE8A9}"/>
    <cellStyle name="SAPEditableDataTotalCell" xfId="33" xr:uid="{84419FB9-E7DE-4177-958A-C870CFE64BD8}"/>
    <cellStyle name="SAPEmphasized" xfId="53" xr:uid="{3E7D361F-5BE9-49F4-9A0C-49D956909249}"/>
    <cellStyle name="SAPEmphasizedEditableDataCell" xfId="55" xr:uid="{242908A3-3E23-404B-9F8E-E4F4ABE533F1}"/>
    <cellStyle name="SAPEmphasizedEditableDataTotalCell" xfId="56" xr:uid="{63267E28-E7FD-4724-B952-878A5B7E2A63}"/>
    <cellStyle name="SAPEmphasizedLockedDataCell" xfId="59" xr:uid="{C5C466E8-705F-484E-B987-69C9F86E2027}"/>
    <cellStyle name="SAPEmphasizedLockedDataTotalCell" xfId="60" xr:uid="{AD04ED79-EF87-4761-908B-9D9CD0950BF7}"/>
    <cellStyle name="SAPEmphasizedReadonlyDataCell" xfId="57" xr:uid="{525341EB-04CD-4854-8457-4DE88B38D52B}"/>
    <cellStyle name="SAPEmphasizedReadonlyDataTotalCell" xfId="58" xr:uid="{58FA9436-943A-481C-80DA-DBAB42941917}"/>
    <cellStyle name="SAPEmphasizedTotal" xfId="54" xr:uid="{BF117734-E722-4B1E-B8A7-A2BABBAF2401}"/>
    <cellStyle name="SAPExceptionLevel1" xfId="36" xr:uid="{CD4625D8-762D-428A-9C75-E79A9BBF0E99}"/>
    <cellStyle name="SAPExceptionLevel2" xfId="37" xr:uid="{BBDD5C6E-30D0-42AF-9E7E-B08F0BEE8776}"/>
    <cellStyle name="SAPExceptionLevel3" xfId="38" xr:uid="{DBD827F2-BF28-4068-9E50-7EBB9D186391}"/>
    <cellStyle name="SAPExceptionLevel4" xfId="39" xr:uid="{88B157CF-29A9-4338-B23A-8DB70FF2AF7F}"/>
    <cellStyle name="SAPExceptionLevel5" xfId="40" xr:uid="{E9D41310-F207-4398-BD67-B31EC6254428}"/>
    <cellStyle name="SAPExceptionLevel6" xfId="41" xr:uid="{8EDA98D1-163F-46F7-A7B9-77EADB485877}"/>
    <cellStyle name="SAPExceptionLevel7" xfId="42" xr:uid="{A9A77855-3132-49F9-BF1F-F7CFFC2E2A36}"/>
    <cellStyle name="SAPExceptionLevel8" xfId="43" xr:uid="{D0F35B93-21CD-4D08-82DB-B5D359E34BB5}"/>
    <cellStyle name="SAPExceptionLevel9" xfId="44" xr:uid="{C44B91ED-BEFF-4775-872A-5F700B7236C2}"/>
    <cellStyle name="SAPFormula" xfId="62" xr:uid="{7B4F8DB9-2525-4ECA-8B37-EBABA7861A34}"/>
    <cellStyle name="SAPGroupingFillCell" xfId="78" xr:uid="{501D6167-E6D8-452E-8D82-84DE1B96F240}"/>
    <cellStyle name="SAPHierarchyCell0" xfId="48" xr:uid="{51184FE7-3E86-40DF-A8F7-0ADC5B9F284D}"/>
    <cellStyle name="SAPHierarchyCell0 2" xfId="74" xr:uid="{C81776C2-4401-4950-AF70-7C0D3457CBDC}"/>
    <cellStyle name="SAPHierarchyCell1" xfId="49" xr:uid="{9D6B9241-52D4-4CA1-8C47-474EC0DB22EE}"/>
    <cellStyle name="SAPHierarchyCell1 2" xfId="75" xr:uid="{CACDD133-1DF9-496B-8B3A-4FD96E798442}"/>
    <cellStyle name="SAPHierarchyCell2" xfId="50" xr:uid="{6D0C4435-B313-43FB-A697-CB4F64378F23}"/>
    <cellStyle name="SAPHierarchyCell3" xfId="51" xr:uid="{396D05C7-4030-454D-BD90-F604C0A9EFC9}"/>
    <cellStyle name="SAPHierarchyCell4" xfId="52" xr:uid="{6CD975FB-1BB3-4ED1-987E-7FA5F7A5E559}"/>
    <cellStyle name="SAPLockedDataCell" xfId="32" xr:uid="{F1E4A8EC-EC8A-46D0-B2D9-8ADC74D9157A}"/>
    <cellStyle name="SAPLockedDataTotalCell" xfId="35" xr:uid="{54057B46-71DB-43B2-A31C-3583F7350542}"/>
    <cellStyle name="SAPMemberCell" xfId="46" xr:uid="{8C30FA1A-3115-4E49-9FA3-AE96C81F518A}"/>
    <cellStyle name="SAPMemberCell 2" xfId="72" xr:uid="{ADBCC5ED-9473-4F81-9F83-C02124DD3F45}"/>
    <cellStyle name="SAPMemberTotalCell" xfId="47" xr:uid="{44D92723-78A7-4B68-B3BE-95E2CF1CDF9E}"/>
    <cellStyle name="SAPMemberTotalCell 2" xfId="73" xr:uid="{78829BC1-EEB5-45E1-A827-70A3AE0920C1}"/>
    <cellStyle name="SAPMessageText" xfId="61" xr:uid="{1572EBA6-824F-4B6B-9EF0-49930FC18F6F}"/>
    <cellStyle name="SAPReadonlyDataCell" xfId="31" xr:uid="{DC243ECE-F582-4647-B597-1B67448230E7}"/>
    <cellStyle name="SAPReadonlyDataTotalCell" xfId="34" xr:uid="{738D1E6E-B6B1-4BA6-BE91-ED4BF202B98E}"/>
    <cellStyle name="Separador de milhares [0]" xfId="3159" xr:uid="{67805D92-4E11-40F7-843E-FB5F0AE900F7}"/>
    <cellStyle name="Separador de milhares [0] 2" xfId="6471" xr:uid="{956C64E9-56BC-45F9-9E5F-614911AE74A9}"/>
    <cellStyle name="Separador de milhares_CARGA_CTEEP_DEZ" xfId="3643" xr:uid="{8014E9B2-2FF2-49C4-8EA9-37340E317337}"/>
    <cellStyle name="Subtit - Modelo2" xfId="3160" xr:uid="{33D99057-EF76-4447-B6B6-A7B50E7E5AFE}"/>
    <cellStyle name="Subtit - Modelo2 2" xfId="3161" xr:uid="{5660B1FA-B5A4-48C1-BB20-1016FB8868C7}"/>
    <cellStyle name="Subtit - Modelo2 2 2" xfId="3162" xr:uid="{9631EA28-ABAA-4394-8270-A0543C70D6D0}"/>
    <cellStyle name="Subtit - Modelo2 2 3" xfId="3163" xr:uid="{055C632D-ADA8-4BDF-BD0C-DFE8683D5D01}"/>
    <cellStyle name="Subtit - Modelo2 2 4" xfId="3164" xr:uid="{C41E255B-8020-4291-AC1D-15FEA2E10ED0}"/>
    <cellStyle name="Subtit - Modelo2 2 5" xfId="3165" xr:uid="{2DBCC4EF-2B3A-430C-AB58-D6A58796F871}"/>
    <cellStyle name="Subtit - Modelo2 2 6" xfId="3166" xr:uid="{F72A8927-E53A-4021-A360-0BA71ABDB0A7}"/>
    <cellStyle name="Subtit - Modelo2 2_ActiFijos" xfId="3167" xr:uid="{F91B1194-6DB4-4854-B013-4307AA7085AD}"/>
    <cellStyle name="Subtit - Modelo2 3" xfId="3168" xr:uid="{4BB9565C-73A6-4741-962B-C4D9E29143BF}"/>
    <cellStyle name="Subtit - Modelo2 3 2" xfId="3169" xr:uid="{16A4AFC7-302C-4A20-AC90-BF12F14FAB41}"/>
    <cellStyle name="Subtit - Modelo2 3 3" xfId="3170" xr:uid="{24861C6F-BA07-4F2B-A7F7-C7DE2618B623}"/>
    <cellStyle name="Subtit - Modelo2 3 4" xfId="3171" xr:uid="{D5E8C90F-AABA-4CD5-AA1A-F94CC2229E69}"/>
    <cellStyle name="Subtit - Modelo2 3 5" xfId="3172" xr:uid="{70572991-C5EC-420C-860D-733693F02151}"/>
    <cellStyle name="Subtit - Modelo2 3 6" xfId="3173" xr:uid="{F38058D1-8F25-425E-8286-4C77D0652038}"/>
    <cellStyle name="Subtit - Modelo2 3_ActiFijos" xfId="3174" xr:uid="{830C6ED6-78BE-4603-9B3A-BA62F77BB60B}"/>
    <cellStyle name="Subtit - Modelo2 4" xfId="3175" xr:uid="{B1C95EC7-C6AA-48E3-A0D4-6F7B571836D3}"/>
    <cellStyle name="Subtit - Modelo2 4 2" xfId="3176" xr:uid="{6438A7E1-7077-40BB-AED9-D79006DBD6A8}"/>
    <cellStyle name="Subtit - Modelo2 4 3" xfId="3177" xr:uid="{4639FCC3-5852-492E-B76A-E8E02DEEF69F}"/>
    <cellStyle name="Subtit - Modelo2 4 4" xfId="3178" xr:uid="{D3B5C98E-A53D-49AC-BF25-445EEB00342C}"/>
    <cellStyle name="Subtit - Modelo2 4 5" xfId="3179" xr:uid="{3C1A1CC7-741F-42D8-8AF1-540E05357CD7}"/>
    <cellStyle name="Subtit - Modelo2 4 6" xfId="3180" xr:uid="{5DB864A9-9793-4A05-9ACE-C42A4FFAEA98}"/>
    <cellStyle name="Subtit - Modelo2 4_ActiFijos" xfId="3181" xr:uid="{92C7E392-34AC-4220-8C05-0D8B19B37DA9}"/>
    <cellStyle name="Subtit - Modelo2_Bases_Generales" xfId="3182" xr:uid="{7C860E11-A738-41C0-8421-72BFA64EAE4E}"/>
    <cellStyle name="Subtitle" xfId="3644" xr:uid="{6451124D-BC58-41C7-9ABA-5E4ABB962860}"/>
    <cellStyle name="Subtitulo" xfId="3183" xr:uid="{F79378E8-6E61-40DE-9499-4EE6669D4E05}"/>
    <cellStyle name="Subtitulo 2" xfId="3184" xr:uid="{85BDA972-B03A-4FD9-B749-4B06145A21C0}"/>
    <cellStyle name="Subtitulo 2 2" xfId="3185" xr:uid="{EA33F62A-A973-4AE4-B877-E40F66580489}"/>
    <cellStyle name="Subtitulo 2 3" xfId="3186" xr:uid="{196DA123-6A50-4274-B37A-DDCDAF0AA796}"/>
    <cellStyle name="Subtitulo 2 4" xfId="3187" xr:uid="{4E6C7C73-0349-405B-B559-9516F23EE440}"/>
    <cellStyle name="Subtitulo 2 5" xfId="3188" xr:uid="{7E797F40-26B6-400D-8BE1-F3D1030EBFE8}"/>
    <cellStyle name="Subtitulo 2 6" xfId="3189" xr:uid="{E6784246-A502-413B-8FA9-98FB015CF3CE}"/>
    <cellStyle name="Subtitulo 2_ActiFijos" xfId="3190" xr:uid="{AF6733A6-FF77-48C7-8FA1-7E1008217AD1}"/>
    <cellStyle name="Subtitulo 3" xfId="3191" xr:uid="{774BE5C4-D816-46BC-BC08-553DB9A438CF}"/>
    <cellStyle name="Subtitulo 3 2" xfId="3192" xr:uid="{7F05E75B-D988-4DE5-8E20-5F0900BF188D}"/>
    <cellStyle name="Subtitulo 3 3" xfId="3193" xr:uid="{1BC604D7-A7DD-42C3-9CE2-379C74AD0C80}"/>
    <cellStyle name="Subtitulo 3 4" xfId="3194" xr:uid="{3D1D7D6B-F210-4CE2-AABC-8E33CCF3886D}"/>
    <cellStyle name="Subtitulo 3 5" xfId="3195" xr:uid="{57F5F796-C086-45B0-81EA-AB37925106DE}"/>
    <cellStyle name="Subtitulo 3 6" xfId="3196" xr:uid="{DB6515FA-FC91-4C69-B5CD-89B21D565262}"/>
    <cellStyle name="Subtitulo 3_ActiFijos" xfId="3197" xr:uid="{30277494-3861-48DF-B647-03D15C427315}"/>
    <cellStyle name="Subtitulo 4" xfId="3198" xr:uid="{81524866-FE6E-4495-B246-28C987CC70DE}"/>
    <cellStyle name="Subtitulo 4 2" xfId="3199" xr:uid="{F426117D-DE0F-416D-B003-0E31777CC586}"/>
    <cellStyle name="Subtitulo 4 3" xfId="3200" xr:uid="{0B4ADE63-AF79-4F0B-8ECF-AB05EF45B2A6}"/>
    <cellStyle name="Subtitulo 4 4" xfId="3201" xr:uid="{18446F70-5D45-47EE-BB8A-0546722C51A4}"/>
    <cellStyle name="Subtitulo 4 5" xfId="3202" xr:uid="{442CAC3F-BCE3-483D-A7C6-B3F92EC05EE2}"/>
    <cellStyle name="Subtitulo 4 6" xfId="3203" xr:uid="{EAEC7679-8384-42EA-8C60-5C3F72D25BAC}"/>
    <cellStyle name="Subtitulo 4_ActiFijos" xfId="3204" xr:uid="{CF0B6A15-B6FC-4675-85BF-92CA8379B08C}"/>
    <cellStyle name="Subtitulo_Bases_Generales" xfId="3205" xr:uid="{84561A8D-0D84-43DD-BB74-BAD99358309B}"/>
    <cellStyle name="texto" xfId="3206" xr:uid="{5B6AFF77-A19F-4A28-8B33-334C67162CDE}"/>
    <cellStyle name="texto 10" xfId="3645" xr:uid="{6B4B0516-C421-4562-8CDA-FA5017E482E6}"/>
    <cellStyle name="texto 2" xfId="3207" xr:uid="{04389201-CF07-4305-89AB-C003C34C8F70}"/>
    <cellStyle name="texto 2 2" xfId="3208" xr:uid="{D429E706-1B92-41EB-AF6C-ED37BF57F82A}"/>
    <cellStyle name="texto 2 3" xfId="3209" xr:uid="{16A92EEC-4626-4C19-AB0F-7AF3EA17505F}"/>
    <cellStyle name="texto 2 4" xfId="3210" xr:uid="{6B3C9D8D-0CD9-4772-9C05-83AF4EF41D2C}"/>
    <cellStyle name="texto 2 5" xfId="3211" xr:uid="{3B1AC982-5774-4D09-B194-877804140D7E}"/>
    <cellStyle name="texto 2 6" xfId="3212" xr:uid="{0F72D194-F27C-46E6-9C2A-F18AD86017EB}"/>
    <cellStyle name="texto 2_ActiFijos" xfId="3213" xr:uid="{1356CE59-6BE7-4718-8132-DEEBF7E98BDA}"/>
    <cellStyle name="texto 3" xfId="3214" xr:uid="{A5B52FE3-82AD-4971-80FF-182210A6B355}"/>
    <cellStyle name="texto 3 2" xfId="3215" xr:uid="{2D3FC9A9-B3DD-4D9D-980E-8489583DF336}"/>
    <cellStyle name="texto 3 3" xfId="3216" xr:uid="{5E71258B-1787-4C1A-8C0E-2B65F94431CC}"/>
    <cellStyle name="texto 3 4" xfId="3217" xr:uid="{890800D5-A864-4A73-9011-01F8E5B705F7}"/>
    <cellStyle name="texto 3 5" xfId="3218" xr:uid="{9053F320-7C44-4795-B72F-47F20C8E23FF}"/>
    <cellStyle name="texto 3 6" xfId="3219" xr:uid="{A91ABBDD-8C97-41A0-B4A5-5B1DBAB95B27}"/>
    <cellStyle name="texto 3_ActiFijos" xfId="3220" xr:uid="{4621E695-6294-4951-8A15-C8DBEA19FA5A}"/>
    <cellStyle name="texto 4" xfId="3221" xr:uid="{5F6D19A7-3DD8-46CF-945D-B7F604E17B2E}"/>
    <cellStyle name="texto 4 2" xfId="3222" xr:uid="{9F9B3119-9A13-4841-B628-D4EC6F58D697}"/>
    <cellStyle name="texto 4 3" xfId="3223" xr:uid="{C3ECCB48-2862-429F-A6D1-9BBF5B991C15}"/>
    <cellStyle name="texto 4 4" xfId="3224" xr:uid="{C08192D6-D48D-46AB-88DD-B7069499AC10}"/>
    <cellStyle name="texto 4 5" xfId="3225" xr:uid="{70AF4DF6-143F-4E4F-B339-B49A100C3BEF}"/>
    <cellStyle name="texto 4 6" xfId="3226" xr:uid="{19508508-14B5-4D36-90FF-359CCBC703AA}"/>
    <cellStyle name="texto 4_ActiFijos" xfId="3227" xr:uid="{6BF89C1D-A3F6-4B7E-97EB-D70A97BCC0D4}"/>
    <cellStyle name="texto 5" xfId="3646" xr:uid="{53908BDF-F14A-4E86-99EB-1F6743074E94}"/>
    <cellStyle name="texto 6" xfId="3647" xr:uid="{2DBF49A7-F6C7-4AA1-8598-5C35FD7F045C}"/>
    <cellStyle name="texto 7" xfId="3648" xr:uid="{48CDD46A-97AD-4A07-B3D2-CA9FADF6BD09}"/>
    <cellStyle name="texto 8" xfId="3649" xr:uid="{8DD46A27-33D6-434B-BCBF-6749FBDBED02}"/>
    <cellStyle name="texto 9" xfId="3650" xr:uid="{7F5B888E-78C7-42C9-B537-7DFEAFD9DF3D}"/>
    <cellStyle name="Texto de advertencia 10" xfId="6472" xr:uid="{8AFB4295-9418-4CA5-9E2D-71E0A70BC9D2}"/>
    <cellStyle name="Texto de advertencia 10 2" xfId="6473" xr:uid="{082CFEDB-8E09-46F0-B990-8298375F1365}"/>
    <cellStyle name="Texto de advertencia 11" xfId="6474" xr:uid="{D30954E1-B58A-49D3-A677-8A9E32C89E3F}"/>
    <cellStyle name="Texto de advertencia 11 2" xfId="6475" xr:uid="{D9FEDCBB-322C-47CB-9262-4135134F3AD2}"/>
    <cellStyle name="Texto de advertencia 12" xfId="6476" xr:uid="{FEF8937C-FD20-4311-AB36-3191A69651CA}"/>
    <cellStyle name="Texto de advertencia 12 2" xfId="6477" xr:uid="{BF76CB6B-4FA8-4890-9540-3ECB92420D30}"/>
    <cellStyle name="Texto de advertencia 13" xfId="6478" xr:uid="{D9B21EA3-E9F7-4724-9304-89CD99DBFF21}"/>
    <cellStyle name="Texto de advertencia 13 2" xfId="6479" xr:uid="{559247D3-5AA5-4560-8F96-56DDFF1E1F9E}"/>
    <cellStyle name="Texto de advertencia 14" xfId="6480" xr:uid="{0F31E540-97DD-4978-B11D-0A3A3F5A8B3B}"/>
    <cellStyle name="Texto de advertencia 14 2" xfId="6481" xr:uid="{BF31B950-6F17-4D68-9C26-B03DEEC36623}"/>
    <cellStyle name="Texto de advertencia 15" xfId="6482" xr:uid="{748B9AD8-DD70-4FC8-B390-380901E83E83}"/>
    <cellStyle name="Texto de advertencia 2" xfId="3651" xr:uid="{CF52A0E7-61BE-4AD9-8145-2BFE7934E8E5}"/>
    <cellStyle name="Texto de advertencia 2 2" xfId="6483" xr:uid="{454DD816-0C36-449D-980B-93DFD17DF998}"/>
    <cellStyle name="Texto de advertencia 2 2 2" xfId="6484" xr:uid="{A3C40FEF-7E5B-4F35-95D8-96F0490DAC6E}"/>
    <cellStyle name="Texto de advertencia 2 3" xfId="6485" xr:uid="{BA4604EA-548E-4743-B3B4-4DD828FB6564}"/>
    <cellStyle name="Texto de advertencia 2 3 2" xfId="6486" xr:uid="{9E804ED0-3D70-45EF-A485-92A497D3207C}"/>
    <cellStyle name="Texto de advertencia 2 4" xfId="6487" xr:uid="{94769BE2-AEFA-4227-9A5D-FC354B574A3D}"/>
    <cellStyle name="Texto de advertencia 3" xfId="3652" xr:uid="{759553F1-61C8-4124-9B73-CA92763563EE}"/>
    <cellStyle name="Texto de advertencia 3 2" xfId="6488" xr:uid="{2D16E89E-913D-4A47-A843-E911A366E789}"/>
    <cellStyle name="Texto de advertencia 3 3" xfId="6489" xr:uid="{AB4A8C01-930C-4CF4-9869-9A7BFC742424}"/>
    <cellStyle name="Texto de advertencia 4" xfId="6490" xr:uid="{7333C768-C4B0-4303-B5B1-EEE1057EB369}"/>
    <cellStyle name="Texto de advertencia 4 2" xfId="6491" xr:uid="{A50DC398-F3ED-453F-BCC5-E101D36441E7}"/>
    <cellStyle name="Texto de advertencia 4 3" xfId="6492" xr:uid="{16589124-63C5-4E29-9119-404088DF2671}"/>
    <cellStyle name="Texto de advertencia 5" xfId="6493" xr:uid="{06BC2C67-44A9-4BFA-A4DA-D969F1721B95}"/>
    <cellStyle name="Texto de advertencia 5 2" xfId="6494" xr:uid="{C71153A6-5E87-4D73-975F-0D2C7B235B82}"/>
    <cellStyle name="Texto de advertencia 6" xfId="6495" xr:uid="{2BB4CF47-68E2-4741-B3A3-09BA3DE83114}"/>
    <cellStyle name="Texto de advertencia 6 2" xfId="6496" xr:uid="{32323740-7544-4CC4-AFC1-1B0B45A334CE}"/>
    <cellStyle name="Texto de advertencia 7" xfId="6497" xr:uid="{13B81A56-2F15-4373-966A-B8F27DE21CBB}"/>
    <cellStyle name="Texto de advertencia 7 2" xfId="6498" xr:uid="{0C9249A0-49CF-4A6F-8CB9-802E294A51A9}"/>
    <cellStyle name="Texto de advertencia 8" xfId="6499" xr:uid="{7D340468-B4E1-4727-AF88-25E4219FC786}"/>
    <cellStyle name="Texto de advertencia 8 2" xfId="6500" xr:uid="{857B588C-F4D2-4B81-A9C8-62356BCB3E5D}"/>
    <cellStyle name="Texto de advertencia 9" xfId="6501" xr:uid="{0E910B56-A141-4F72-B92C-40EFF76FA625}"/>
    <cellStyle name="Texto de advertencia 9 2" xfId="6502" xr:uid="{E2154EFC-8FBB-4531-9AE5-CAFD04A97794}"/>
    <cellStyle name="Texto de Aviso" xfId="3228" xr:uid="{1C53966B-3313-49FF-8B96-C5E1D7B45549}"/>
    <cellStyle name="Texto explicativo 10" xfId="6503" xr:uid="{724838BF-5203-4869-9C2C-E33E30A9521F}"/>
    <cellStyle name="Texto explicativo 10 2" xfId="6504" xr:uid="{91CE4815-B4BD-47BC-8E56-10130F546D68}"/>
    <cellStyle name="Texto explicativo 11" xfId="6505" xr:uid="{B6E09D6F-2724-4C97-B810-904FEEC0EF07}"/>
    <cellStyle name="Texto explicativo 11 2" xfId="6506" xr:uid="{53330FF7-2CD0-4353-B5B9-C079887E7148}"/>
    <cellStyle name="Texto explicativo 12" xfId="6507" xr:uid="{0F8918CC-CA90-4DB5-84DA-E141E008BF23}"/>
    <cellStyle name="Texto explicativo 12 2" xfId="6508" xr:uid="{0ED9D9EF-2B22-49FB-9BEE-41F57A4AB698}"/>
    <cellStyle name="Texto explicativo 13" xfId="6509" xr:uid="{B971797D-C4B0-4F4E-92F7-3F5C5CC7251E}"/>
    <cellStyle name="Texto explicativo 13 2" xfId="6510" xr:uid="{52D295BC-D461-4B40-B9E8-3DDF6288173F}"/>
    <cellStyle name="Texto explicativo 14" xfId="6511" xr:uid="{2569BB01-3C06-4D87-8AA8-188B937F23F6}"/>
    <cellStyle name="Texto explicativo 14 2" xfId="6512" xr:uid="{43CA55F0-BCB7-4AAC-AFC6-177DEA6DCEA9}"/>
    <cellStyle name="Texto explicativo 15" xfId="6513" xr:uid="{310B6918-B935-4428-B288-B35B0023F952}"/>
    <cellStyle name="Texto explicativo 2" xfId="3653" xr:uid="{26F8D843-F997-4B1E-B352-C0F82AF049FA}"/>
    <cellStyle name="Texto explicativo 2 2" xfId="6514" xr:uid="{C0960CC4-077C-4E32-862C-3A1A8EBE0974}"/>
    <cellStyle name="Texto explicativo 2 3" xfId="6515" xr:uid="{6EFDE751-4FD2-4788-88BF-3D0516FEF848}"/>
    <cellStyle name="Texto explicativo 2 4" xfId="6516" xr:uid="{A4B71533-64E6-464A-BEF9-464CC92BE45E}"/>
    <cellStyle name="Texto explicativo 3" xfId="3654" xr:uid="{0EDE626F-B408-48E5-B0A0-E6DE87D70987}"/>
    <cellStyle name="Texto explicativo 3 2" xfId="6517" xr:uid="{1618D966-4C6C-4DC5-A585-C05CBB84DB92}"/>
    <cellStyle name="Texto explicativo 3 3" xfId="6518" xr:uid="{7030CD5C-7DE8-4CE8-871A-02B05D4FE075}"/>
    <cellStyle name="Texto explicativo 4" xfId="6519" xr:uid="{4736FF8C-C0A1-425B-BE03-E42027BD81EE}"/>
    <cellStyle name="Texto explicativo 4 2" xfId="6520" xr:uid="{99E0CE00-9F41-4C32-80BC-40A3B0106B56}"/>
    <cellStyle name="Texto explicativo 4 3" xfId="6521" xr:uid="{227030DF-7F31-4B01-B470-764EC6149ABD}"/>
    <cellStyle name="Texto explicativo 5" xfId="6522" xr:uid="{3459B72F-4E6C-47E8-BB2E-15F6F35573B9}"/>
    <cellStyle name="Texto explicativo 6" xfId="6523" xr:uid="{D40BAEA5-9E04-42BD-A579-628CCA996770}"/>
    <cellStyle name="Texto explicativo 7" xfId="6524" xr:uid="{B6ABCCC9-1142-48FF-BB5D-67983D02B34D}"/>
    <cellStyle name="Texto explicativo 8" xfId="6525" xr:uid="{DBFA4AA2-6BCF-4885-89B9-8D6C4F62E094}"/>
    <cellStyle name="Texto explicativo 9" xfId="6526" xr:uid="{E8DBDF07-AA2A-4C1B-B542-755272EDA23F}"/>
    <cellStyle name="Title" xfId="3655" xr:uid="{28D18854-3E2E-460D-8254-C9A9771790C8}"/>
    <cellStyle name="titulo" xfId="3229" xr:uid="{3A3F1312-094F-4621-866F-0CEC92BAD9BA}"/>
    <cellStyle name="Título 1 10" xfId="6527" xr:uid="{37CBE184-C51D-431D-A52D-8C4DC99D4575}"/>
    <cellStyle name="Título 1 10 2" xfId="6528" xr:uid="{F96129E6-082F-4B8F-850C-9C6F94646602}"/>
    <cellStyle name="Título 1 11" xfId="6529" xr:uid="{DB615F62-99BA-4312-B29B-7944CA8758C4}"/>
    <cellStyle name="Título 1 11 2" xfId="6530" xr:uid="{61352C51-984D-4BD3-8D0B-0A0C285C794E}"/>
    <cellStyle name="Título 1 12" xfId="6531" xr:uid="{4523E45E-AE3E-4D9A-9CB7-B39889F98A13}"/>
    <cellStyle name="Título 1 12 2" xfId="6532" xr:uid="{70229643-7E63-4C6A-8830-DA9A858ED882}"/>
    <cellStyle name="Título 1 13" xfId="6533" xr:uid="{BA93C384-0D02-4CE6-A9F6-05D48380B94A}"/>
    <cellStyle name="Título 1 13 2" xfId="6534" xr:uid="{B429D33E-9EDF-4C02-A9B2-7FCE59330582}"/>
    <cellStyle name="Título 1 14" xfId="6535" xr:uid="{29498930-4165-423F-9EDE-AB0CE37D638E}"/>
    <cellStyle name="Título 1 14 2" xfId="6536" xr:uid="{3A863F30-B87F-4837-A7CF-2AEBD231AB80}"/>
    <cellStyle name="Título 1 15" xfId="6537" xr:uid="{1D890260-63BE-4520-A639-4D42553EB0A0}"/>
    <cellStyle name="Título 1 2" xfId="3656" xr:uid="{0D9769C6-EA24-442D-8C7C-5815DCAABF1F}"/>
    <cellStyle name="Título 1 2 2" xfId="6538" xr:uid="{8B2485CF-D0D5-4F77-9C77-EE1BE5039261}"/>
    <cellStyle name="Título 1 2 3" xfId="6539" xr:uid="{4E6EFFE9-BAE5-4885-95B8-3C22CEDCF40D}"/>
    <cellStyle name="Título 1 2 4" xfId="6540" xr:uid="{09AE9B52-4818-42A9-AF86-C74A7A67CC9E}"/>
    <cellStyle name="Título 1 3" xfId="3657" xr:uid="{56202D5C-5CD5-432F-876F-8F420DDBA062}"/>
    <cellStyle name="Título 1 3 2" xfId="6541" xr:uid="{DEED0304-7B46-4141-9B63-411493D86375}"/>
    <cellStyle name="Título 1 3 3" xfId="6542" xr:uid="{FBC311D4-98CA-49A6-888D-133AED94B402}"/>
    <cellStyle name="Título 1 4" xfId="6543" xr:uid="{D3B1F13D-211C-4E1B-A036-B09A0C8D2384}"/>
    <cellStyle name="Título 1 4 2" xfId="6544" xr:uid="{7078B794-2959-4859-9F46-F5B5CAF1DA4D}"/>
    <cellStyle name="Título 1 4 3" xfId="6545" xr:uid="{01F49DFF-6542-428D-B388-41D10FC64115}"/>
    <cellStyle name="Título 1 5" xfId="6546" xr:uid="{0880B4AC-757B-419A-8238-114EE9EDD2F4}"/>
    <cellStyle name="Título 1 6" xfId="6547" xr:uid="{B63B8330-7025-4D60-94BA-B36D4D59A421}"/>
    <cellStyle name="Título 1 7" xfId="6548" xr:uid="{B26DA550-9112-4256-BB0D-4266022FF64B}"/>
    <cellStyle name="Título 1 8" xfId="6549" xr:uid="{19B9AB85-44C4-4F89-ACD7-3F5ED858ECF3}"/>
    <cellStyle name="Título 1 9" xfId="6550" xr:uid="{75DB4C13-B0F8-43AE-849F-2896380B7279}"/>
    <cellStyle name="Título 10" xfId="6551" xr:uid="{B4867F52-7221-4B96-830C-5E5EEF30DFA6}"/>
    <cellStyle name="Título 11" xfId="6552" xr:uid="{46797712-C2FC-46F2-922D-835750237EEE}"/>
    <cellStyle name="Título 12" xfId="6553" xr:uid="{4563DA89-1679-4346-ABF3-E9AD5E0C44E1}"/>
    <cellStyle name="Título 12 2" xfId="6554" xr:uid="{30FE5986-DE5F-49DF-B98D-A2B60A0439A6}"/>
    <cellStyle name="Título 13" xfId="6555" xr:uid="{E2A1BC47-C09E-48FE-B3C5-BEFB6D18D900}"/>
    <cellStyle name="Título 13 2" xfId="6556" xr:uid="{1F7BB747-52D3-4BA5-9E6C-225858FEF76C}"/>
    <cellStyle name="Título 14" xfId="6557" xr:uid="{AD03C424-34A3-44D8-8A24-1E6A72E83F92}"/>
    <cellStyle name="Título 14 2" xfId="6558" xr:uid="{B29EDA26-5B94-4038-AE30-8AFE5E55E9C5}"/>
    <cellStyle name="Título 15" xfId="6559" xr:uid="{9BD5C7DD-F4E1-42DF-8F3D-01FDC1DF4D60}"/>
    <cellStyle name="Título 15 2" xfId="6560" xr:uid="{451F6FC0-664C-42C6-BF03-9FD7565FE800}"/>
    <cellStyle name="Título 16" xfId="6561" xr:uid="{AFA1C4D8-6CC2-4CA6-84DA-E14C67FEF6E7}"/>
    <cellStyle name="Título 16 2" xfId="6562" xr:uid="{FF472236-25A3-4F0F-8EA1-BB21E98B5E85}"/>
    <cellStyle name="Título 17" xfId="6563" xr:uid="{0974B081-1BA3-4F03-AB6F-14609E3D11C5}"/>
    <cellStyle name="titulo 2" xfId="3230" xr:uid="{A9320278-A611-4CDF-867D-897244834698}"/>
    <cellStyle name="Título 2 10" xfId="6564" xr:uid="{B097D65C-BFFF-43E2-A037-96B0BE679609}"/>
    <cellStyle name="Título 2 10 2" xfId="6565" xr:uid="{BE99663E-4930-4898-8D21-1C34F2198E70}"/>
    <cellStyle name="Título 2 11" xfId="6566" xr:uid="{E2598859-8E2F-42C3-A861-78B296AF9834}"/>
    <cellStyle name="Título 2 11 2" xfId="6567" xr:uid="{A802FEC7-A151-4540-BB6A-52B1EB0FAAE2}"/>
    <cellStyle name="Título 2 12" xfId="6568" xr:uid="{B06B39EF-B777-4127-A82B-712005B09EF2}"/>
    <cellStyle name="Título 2 12 2" xfId="6569" xr:uid="{956ED2AD-79F3-4796-9125-B36C0BB95F3F}"/>
    <cellStyle name="Título 2 13" xfId="6570" xr:uid="{656FD6C7-6A86-4279-A860-17A5E6AAB69A}"/>
    <cellStyle name="Título 2 13 2" xfId="6571" xr:uid="{51AE876C-0333-4B89-A623-E38D2DD3BD1C}"/>
    <cellStyle name="Título 2 14" xfId="6572" xr:uid="{4573BE10-01B5-4E77-AE43-1BFBDA632637}"/>
    <cellStyle name="Título 2 14 2" xfId="6573" xr:uid="{3642E823-E336-4DF1-8B48-D63C6CF3BC0C}"/>
    <cellStyle name="Título 2 15" xfId="6574" xr:uid="{9ED396DC-962D-4AB3-8697-B8868F6BAEAA}"/>
    <cellStyle name="titulo 2 2" xfId="3231" xr:uid="{B6139174-34BB-4CD3-8A6D-714F4C456628}"/>
    <cellStyle name="Título 2 2" xfId="3658" xr:uid="{B006AD72-6D46-42AA-9B4E-E5CB68AF2BA6}"/>
    <cellStyle name="Título 2 2 2" xfId="6575" xr:uid="{3D9FC835-1937-4905-B290-07C8767FA196}"/>
    <cellStyle name="Título 2 2 3" xfId="6576" xr:uid="{E495D5B1-0487-4AF2-98DE-B16CEA66E411}"/>
    <cellStyle name="Título 2 2 4" xfId="6577" xr:uid="{1CCC89C3-2E1C-4A8D-97EE-FA246F28ACA5}"/>
    <cellStyle name="titulo 2 3" xfId="3232" xr:uid="{B087BBEC-FE5D-4F88-BBA5-CEDF1D7556FA}"/>
    <cellStyle name="Título 2 3" xfId="3659" xr:uid="{14126B1A-7FFE-4E9B-A7FC-A9502936F2D4}"/>
    <cellStyle name="Título 2 3 2" xfId="6578" xr:uid="{830B3529-619F-4EF5-A93A-AE8BFFC38733}"/>
    <cellStyle name="Título 2 3 3" xfId="6579" xr:uid="{FB1676D3-0CA6-4995-A1E2-487B85278669}"/>
    <cellStyle name="titulo 2 4" xfId="3233" xr:uid="{0684908F-BDBB-47AF-B55B-4E51B9A89AC8}"/>
    <cellStyle name="Título 2 4" xfId="6580" xr:uid="{EA0DB30E-B8AB-4D00-8346-37FE98A35AC3}"/>
    <cellStyle name="Título 2 4 2" xfId="6581" xr:uid="{76DD3EC9-B300-4070-8193-DDBFDF402F9C}"/>
    <cellStyle name="Título 2 4 3" xfId="6582" xr:uid="{D9A90EA8-DB04-4933-B768-774E0290D4E2}"/>
    <cellStyle name="titulo 2 5" xfId="3234" xr:uid="{C27FA352-1BBA-4358-B440-99CFFA8A9D3B}"/>
    <cellStyle name="Título 2 5" xfId="6583" xr:uid="{0E1AF8B6-4B25-45B2-9896-630BA224E9C0}"/>
    <cellStyle name="titulo 2 6" xfId="3235" xr:uid="{879D5591-F128-4CF4-9378-6F20AC566078}"/>
    <cellStyle name="Título 2 6" xfId="6584" xr:uid="{1883E82C-B37F-4CB8-B552-E0A9A31D3804}"/>
    <cellStyle name="Título 2 7" xfId="6585" xr:uid="{F724398C-B255-440F-B514-CFFBDFB9CE1F}"/>
    <cellStyle name="Título 2 8" xfId="6586" xr:uid="{992EB999-4A89-4A39-B1AA-4346009CB100}"/>
    <cellStyle name="Título 2 9" xfId="6587" xr:uid="{AD93410A-0E5E-4BC9-A413-AD72E9BE49ED}"/>
    <cellStyle name="titulo 2_ActiFijos" xfId="3236" xr:uid="{D2CEAFE1-C7D2-43AB-992E-FE449E3855B6}"/>
    <cellStyle name="titulo 3" xfId="3237" xr:uid="{DD178ADA-7650-43C2-B45E-2E999B220B4F}"/>
    <cellStyle name="Título 3 10" xfId="6588" xr:uid="{17800C5A-D9A0-4CC0-94EF-1E264905A6B3}"/>
    <cellStyle name="Título 3 10 2" xfId="6589" xr:uid="{F94B58A2-2342-4E2E-A886-4FB30FB6B9D8}"/>
    <cellStyle name="Título 3 11" xfId="6590" xr:uid="{B22D24A5-3E10-424B-8C44-7AD911670D8C}"/>
    <cellStyle name="Título 3 11 2" xfId="6591" xr:uid="{1E38743E-8E10-47D6-9BF6-854AC57B6556}"/>
    <cellStyle name="Título 3 12" xfId="6592" xr:uid="{86DF802B-6C5A-48A7-A182-436741FAC1A1}"/>
    <cellStyle name="Título 3 12 2" xfId="6593" xr:uid="{B37D6F4C-BE1B-4251-BA51-5B946947ABC3}"/>
    <cellStyle name="Título 3 13" xfId="6594" xr:uid="{9BFA7B87-97E3-4768-8E1A-5A6E77BAC95D}"/>
    <cellStyle name="Título 3 13 2" xfId="6595" xr:uid="{A88D38D8-0D52-4C32-832F-E78EB5F1E077}"/>
    <cellStyle name="Título 3 14" xfId="6596" xr:uid="{95D4D88B-E566-40AE-A484-6E7D2BA65BEB}"/>
    <cellStyle name="Título 3 14 2" xfId="6597" xr:uid="{3283F31E-A219-4E0C-9068-2A1295163E31}"/>
    <cellStyle name="Título 3 15" xfId="6598" xr:uid="{7D836938-FE5E-45AC-B909-D7C739A0ED5C}"/>
    <cellStyle name="titulo 3 2" xfId="3238" xr:uid="{6C401F46-BCBE-4841-AFA2-F2AD9A4BE357}"/>
    <cellStyle name="Título 3 2" xfId="3660" xr:uid="{9E505E94-511A-435C-B9EB-993F78597AEB}"/>
    <cellStyle name="Título 3 2 2" xfId="6599" xr:uid="{5790F605-026E-44B0-88E7-04632D5E4C43}"/>
    <cellStyle name="Título 3 2 3" xfId="6600" xr:uid="{E35A94BF-CF6D-47BA-9C7E-80D97807066F}"/>
    <cellStyle name="Título 3 2 4" xfId="6601" xr:uid="{24D0DDC8-26E3-48AF-B3AB-707B3E61F971}"/>
    <cellStyle name="titulo 3 3" xfId="3239" xr:uid="{240F314A-A58F-4991-A4C2-3CE4C94021D8}"/>
    <cellStyle name="Título 3 3" xfId="3661" xr:uid="{82079A34-A1F9-4CC6-871B-8249BAA7CD88}"/>
    <cellStyle name="Título 3 3 2" xfId="6602" xr:uid="{DE262793-9377-453B-91EA-DAD028070C29}"/>
    <cellStyle name="Título 3 3 3" xfId="6603" xr:uid="{EEDCBCA3-B2F1-4619-AE8D-7356C4EB516D}"/>
    <cellStyle name="titulo 3 4" xfId="3240" xr:uid="{EB94B49F-E2D8-4AAF-B883-34C60810156E}"/>
    <cellStyle name="Título 3 4" xfId="6604" xr:uid="{F68E77B7-F3F9-460C-A6E2-A9A233407D2E}"/>
    <cellStyle name="Título 3 4 2" xfId="6605" xr:uid="{DA8A9205-1B1F-470E-982F-C1559688603C}"/>
    <cellStyle name="Título 3 4 3" xfId="6606" xr:uid="{1A12FD07-64A3-4F7B-BAE3-951EC54F92F6}"/>
    <cellStyle name="titulo 3 5" xfId="3241" xr:uid="{EE1D7DED-FCDE-42A5-9699-41A890EF97F3}"/>
    <cellStyle name="Título 3 5" xfId="6607" xr:uid="{B3122699-1CD3-438E-BD28-C3EFF3E44A6B}"/>
    <cellStyle name="titulo 3 6" xfId="3242" xr:uid="{4023D728-195F-4964-A964-F037C1E2F45A}"/>
    <cellStyle name="Título 3 6" xfId="6608" xr:uid="{3C46A4D7-C661-4242-AA43-695A3A6FA110}"/>
    <cellStyle name="Título 3 7" xfId="6609" xr:uid="{7A4AC111-B096-4892-943C-131E0BD8ED6B}"/>
    <cellStyle name="Título 3 8" xfId="6610" xr:uid="{6C96C025-7F68-493B-9765-FFADED37E24E}"/>
    <cellStyle name="Título 3 9" xfId="6611" xr:uid="{4090EBA7-557D-47A4-AEA3-4BAE114C2917}"/>
    <cellStyle name="titulo 3_ActiFijos" xfId="3243" xr:uid="{3FBF488B-46A4-45C8-85E7-85E0630E8BDE}"/>
    <cellStyle name="titulo 4" xfId="3244" xr:uid="{662090AA-56B8-43EC-9265-DDFB14C63A2D}"/>
    <cellStyle name="Título 4" xfId="3245" xr:uid="{294F01EE-6FAA-455C-BA93-CED40ACC09BD}"/>
    <cellStyle name="Título 4 10" xfId="6612" xr:uid="{FDB7D606-CBB1-4162-B6C1-89717F7311D3}"/>
    <cellStyle name="titulo 4 2" xfId="3246" xr:uid="{D2F9C7B0-019C-4B6F-9E0F-F501BB711CC6}"/>
    <cellStyle name="Título 4 2" xfId="6613" xr:uid="{155B83D8-5ABB-4472-909C-0F1C75927559}"/>
    <cellStyle name="titulo 4 3" xfId="3247" xr:uid="{C81D46EF-7678-47FC-89AC-FA5364371AAF}"/>
    <cellStyle name="Título 4 3" xfId="6614" xr:uid="{56853E43-C9F5-4EF6-98DB-EE560B088329}"/>
    <cellStyle name="titulo 4 4" xfId="3248" xr:uid="{68B9D379-CFC8-4292-BC4E-01A64056A0ED}"/>
    <cellStyle name="Título 4 4" xfId="6615" xr:uid="{12148B12-2989-42A3-BB87-5EC51D5FE2A6}"/>
    <cellStyle name="titulo 4 5" xfId="3249" xr:uid="{B7A3B179-3B60-4E94-86F7-98E4C11DDD57}"/>
    <cellStyle name="Título 4 5" xfId="6616" xr:uid="{0566F481-0B0E-404A-B918-FD5E8A8D74C0}"/>
    <cellStyle name="titulo 4 6" xfId="3250" xr:uid="{8264B42C-A2E2-433F-96C0-11C71D504329}"/>
    <cellStyle name="Título 4 6" xfId="6617" xr:uid="{9D25F60F-4622-471C-AFF4-0D49B7EB9884}"/>
    <cellStyle name="Título 4 7" xfId="6618" xr:uid="{8415714C-30AA-4AB0-8464-BF2CA45C7FB2}"/>
    <cellStyle name="Título 4 8" xfId="6619" xr:uid="{181C0678-5D8C-4C84-9BD4-F08F47C273E3}"/>
    <cellStyle name="Título 4 9" xfId="6620" xr:uid="{8BCB018E-DF56-423D-B04A-29B1213F1B91}"/>
    <cellStyle name="titulo 4_ActiFijos" xfId="3251" xr:uid="{D51ABDCF-573C-4266-A140-D539304E86A6}"/>
    <cellStyle name="Título 5" xfId="6621" xr:uid="{17B1E450-C99C-40DB-8D45-362633867981}"/>
    <cellStyle name="Título 5 2" xfId="6622" xr:uid="{6D3F7256-1BBD-4E5C-88B6-694CD1BC4F24}"/>
    <cellStyle name="Título 5 3" xfId="6623" xr:uid="{C28081D8-9FCC-47CA-8930-6FCD2E00F1EA}"/>
    <cellStyle name="Título 6" xfId="6624" xr:uid="{0205EF60-968F-46B9-8983-4993D60AF020}"/>
    <cellStyle name="Título 6 2" xfId="6625" xr:uid="{EC725D0D-E1B4-4B04-9F6F-937C743C8DEA}"/>
    <cellStyle name="Título 6 3" xfId="6626" xr:uid="{80AAB78A-CF54-4E08-9F67-8D12BECA8F4D}"/>
    <cellStyle name="Título 7" xfId="6627" xr:uid="{44B04F34-3EFC-437E-BA26-721F5359A5D0}"/>
    <cellStyle name="Título 8" xfId="6628" xr:uid="{E5BBCEE3-6BB8-40DD-B0D3-9051743A4CBD}"/>
    <cellStyle name="Título 9" xfId="6629" xr:uid="{7B61DB09-ABFF-44FA-9F1F-6CE08D611CEB}"/>
    <cellStyle name="titulo_Balanc" xfId="3252" xr:uid="{392EA3A2-DAF5-4DDF-A694-E8966CFDE085}"/>
    <cellStyle name="Total 10" xfId="3253" xr:uid="{7D479B1C-6D12-40B9-9A13-9839F1EB6378}"/>
    <cellStyle name="Total 11" xfId="3254" xr:uid="{6ACF2D2A-1E89-4F81-BE23-F2BB6DB6E3EF}"/>
    <cellStyle name="Total 11 2" xfId="6630" xr:uid="{E21F28A9-558D-4522-A8DB-609C8A2C6851}"/>
    <cellStyle name="Total 12" xfId="3255" xr:uid="{134A7619-1840-4C17-891E-C33EF6621701}"/>
    <cellStyle name="Total 12 2" xfId="6631" xr:uid="{27407DEB-49B3-4715-98F2-E293027838D6}"/>
    <cellStyle name="Total 13" xfId="6632" xr:uid="{4A01E75D-07A7-45EC-9CD7-67E4BECAB937}"/>
    <cellStyle name="Total 13 2" xfId="6633" xr:uid="{08421BEA-2D77-488F-AB48-53390035ED6B}"/>
    <cellStyle name="Total 13 3" xfId="6634" xr:uid="{184B826D-C3FB-4142-A6B8-822DDA824F93}"/>
    <cellStyle name="Total 14" xfId="6635" xr:uid="{96A4FF6A-98E3-4EDE-9565-27E77A0181FC}"/>
    <cellStyle name="Total 14 2" xfId="6636" xr:uid="{4D18A1F9-B512-4D05-8887-23C1A6EF72E3}"/>
    <cellStyle name="Total 14 3" xfId="6637" xr:uid="{F84633DF-2601-409F-87E2-3B8F0E2F6AB8}"/>
    <cellStyle name="Total 15" xfId="6638" xr:uid="{1B9318FD-D180-471D-8403-EA6DBA3FC83E}"/>
    <cellStyle name="Total 16" xfId="6639" xr:uid="{544328B8-8EFB-4456-8B49-16EC5B1564DF}"/>
    <cellStyle name="Total 17" xfId="6640" xr:uid="{A9278F13-2256-48D8-8429-BD8DDFEC4332}"/>
    <cellStyle name="Total 18" xfId="6641" xr:uid="{10F6566A-C628-4FBD-86AE-1F79F6A72CAE}"/>
    <cellStyle name="Total 19" xfId="6642" xr:uid="{AA867F23-972F-4467-B9DE-49936162BDAB}"/>
    <cellStyle name="Total 2" xfId="3256" xr:uid="{2D6EAE97-C143-48AC-A496-B68B80E5D4A2}"/>
    <cellStyle name="Total 2 2" xfId="3257" xr:uid="{51167640-AD1A-4E56-B9A9-7993C8C50529}"/>
    <cellStyle name="Total 2 2 2" xfId="6643" xr:uid="{758CD92F-FCED-4E20-B16C-95B2075A7E31}"/>
    <cellStyle name="Total 2 3" xfId="3258" xr:uid="{DB4771F6-9CE8-4914-9372-4307552562E8}"/>
    <cellStyle name="Total 2 3 2" xfId="6644" xr:uid="{4030DE11-1B79-46A3-B485-DA8E066EC61C}"/>
    <cellStyle name="Total 2 4" xfId="3259" xr:uid="{52639507-DD17-4F71-B3DA-9E79B10B0ED6}"/>
    <cellStyle name="Total 2 4 2" xfId="6645" xr:uid="{8A5E9E0E-93D2-4C8C-BC0C-E43CEB8DDFBC}"/>
    <cellStyle name="Total 2 5" xfId="3260" xr:uid="{D341BCBE-23D5-4EDB-8543-781C2D62218C}"/>
    <cellStyle name="Total 2 5 2" xfId="6646" xr:uid="{47D03DBC-B2FC-4A95-9E50-CDE895A99C55}"/>
    <cellStyle name="Total 2 6" xfId="3261" xr:uid="{4384B981-A56B-45A7-92BD-62B6D154C489}"/>
    <cellStyle name="Total 2 6 2" xfId="6647" xr:uid="{5BF0B637-9936-4492-8DC8-4F8B0A20FA0D}"/>
    <cellStyle name="Total 2 7" xfId="6648" xr:uid="{76BCA150-4D97-41C4-A6F0-D2E1FD81BD5C}"/>
    <cellStyle name="Total 2 8" xfId="6649" xr:uid="{CF07D102-E084-4DF9-8927-1C50EE6466E9}"/>
    <cellStyle name="Total 2 8 2" xfId="6650" xr:uid="{FB6CD934-B3A3-4333-B6CA-4DECB9372094}"/>
    <cellStyle name="Total 2 9" xfId="6651" xr:uid="{275EAE18-15B3-41A0-A6BA-F0A2825C5D4A}"/>
    <cellStyle name="Total 2_GRUPO4Q-2009 COMPLETO" xfId="3662" xr:uid="{470BA132-2537-4995-A2BB-C5356A5A6CA7}"/>
    <cellStyle name="Total 20" xfId="6652" xr:uid="{FAE421C3-709A-46B1-AC33-7AA260F75C61}"/>
    <cellStyle name="Total 21" xfId="6653" xr:uid="{0EB4219C-D20A-46C3-87A2-95F86BA89E49}"/>
    <cellStyle name="Total 21 2" xfId="6654" xr:uid="{3FAA9FC7-EA1E-4256-85E1-555355CF4C5D}"/>
    <cellStyle name="Total 22" xfId="6655" xr:uid="{74D7C8E8-1CFA-4A05-95E7-BF7D81BA1ACE}"/>
    <cellStyle name="Total 22 2" xfId="6656" xr:uid="{FFF9A460-575F-4340-B57C-C16F0F45AC52}"/>
    <cellStyle name="Total 23" xfId="6657" xr:uid="{0B2C0EBE-9ACF-44BB-B952-39CA9EF9FAF4}"/>
    <cellStyle name="Total 23 2" xfId="6658" xr:uid="{E23AA012-574A-4EF6-970D-1ECC321A40DB}"/>
    <cellStyle name="Total 24" xfId="6659" xr:uid="{27BA49ED-0D2F-40DA-9AA7-2F87C2FFF11B}"/>
    <cellStyle name="Total 24 2" xfId="6660" xr:uid="{FB8C5CA2-6FD2-4729-8A3C-7297E8C8A12F}"/>
    <cellStyle name="Total 25" xfId="6661" xr:uid="{B7E0FF0D-6F12-4C2A-9C39-8B27AFECBBC5}"/>
    <cellStyle name="Total 25 2" xfId="6662" xr:uid="{E0F0187E-3B2B-4C8A-BB79-3027F43BDFE4}"/>
    <cellStyle name="Total 26" xfId="6663" xr:uid="{AD93E49A-57D1-46A0-8F93-EAACE3711C99}"/>
    <cellStyle name="Total 3" xfId="3262" xr:uid="{6D136C3D-E824-4577-A117-ECF0427B0685}"/>
    <cellStyle name="Total 3 2" xfId="3263" xr:uid="{148EE8F5-DE5D-4376-A142-30C7246DEBD0}"/>
    <cellStyle name="Total 3 2 2" xfId="6664" xr:uid="{90CC214E-44BC-4598-9600-3BF61ED6C0B9}"/>
    <cellStyle name="Total 3 3" xfId="3264" xr:uid="{3F0D8EF1-56AE-44C0-9C73-3A0AEA12A58C}"/>
    <cellStyle name="Total 3 3 2" xfId="6665" xr:uid="{FC9F2370-DF8E-43DF-86BC-6C61C9A616F5}"/>
    <cellStyle name="Total 3 4" xfId="3265" xr:uid="{16DFBC79-842A-47B8-9559-214685E1A273}"/>
    <cellStyle name="Total 3 4 2" xfId="6666" xr:uid="{5BE1621D-CD13-46F6-84DC-9A0DBB7F5583}"/>
    <cellStyle name="Total 3 5" xfId="3266" xr:uid="{E9CC6009-97C6-457D-8062-F83D01B729E1}"/>
    <cellStyle name="Total 3 5 2" xfId="6667" xr:uid="{142F0A73-9224-4CEC-87DD-01F0E5DE679A}"/>
    <cellStyle name="Total 3 6" xfId="3267" xr:uid="{98BE125D-8DFB-4430-B846-09447E18855E}"/>
    <cellStyle name="Total 3 6 2" xfId="6668" xr:uid="{5FC43F55-BFE5-46B8-8401-0AF229AE5662}"/>
    <cellStyle name="Total 3 7" xfId="6669" xr:uid="{84F83DF6-75A8-4AFD-A05D-B51DC9C143DE}"/>
    <cellStyle name="Total 3_GRUPO4Q-2009 COMPLETO" xfId="3663" xr:uid="{B70E2188-021E-4DB6-938E-8895728B570B}"/>
    <cellStyle name="Total 4" xfId="3268" xr:uid="{B453559F-1D5E-4291-AE25-A4F336C19107}"/>
    <cellStyle name="Total 4 2" xfId="3269" xr:uid="{669C8C92-B1CB-4607-812A-45052A9B188A}"/>
    <cellStyle name="Total 4 2 2" xfId="6670" xr:uid="{81078374-CDEF-47D2-BE09-774AFB3DDBFA}"/>
    <cellStyle name="Total 4 3" xfId="3270" xr:uid="{DB21B5C3-CB97-4F76-9980-B03301A318F2}"/>
    <cellStyle name="Total 4 3 2" xfId="6671" xr:uid="{CBED3F64-A23D-4434-944D-E7F505996376}"/>
    <cellStyle name="Total 4 4" xfId="3271" xr:uid="{368003F9-A44C-4274-8085-962546DCB3EE}"/>
    <cellStyle name="Total 4 4 2" xfId="6672" xr:uid="{F1EF144F-D1B1-44DE-8673-06A2A0EB7BFF}"/>
    <cellStyle name="Total 4 5" xfId="3272" xr:uid="{0DAC5492-1F58-46E7-BFB9-919A6E73956D}"/>
    <cellStyle name="Total 4 5 2" xfId="6673" xr:uid="{931692BB-03A5-48A8-A53C-AD272047A46B}"/>
    <cellStyle name="Total 4 6" xfId="3273" xr:uid="{68F20549-F65F-4010-8677-8832F3458DB9}"/>
    <cellStyle name="Total 4 6 2" xfId="6674" xr:uid="{DEF1C12A-CC68-49E2-911D-1D6DAD2FB40D}"/>
    <cellStyle name="Total 4 7" xfId="6675" xr:uid="{E2065969-641C-4892-9C92-1E0C5ECF6D62}"/>
    <cellStyle name="Total 5" xfId="3274" xr:uid="{BE0A2C6A-85E5-49E0-9E65-1CE26ACF0F6B}"/>
    <cellStyle name="Total 5 2" xfId="6676" xr:uid="{32E36605-B82C-410D-A939-44F0E37586DA}"/>
    <cellStyle name="Total 6" xfId="3275" xr:uid="{92071890-09B7-4B2A-8C3C-6FB9237311D3}"/>
    <cellStyle name="Total 6 2" xfId="6677" xr:uid="{503DF251-8198-43E1-8A09-1EB7A1299640}"/>
    <cellStyle name="Total 7" xfId="3276" xr:uid="{9EC63D39-DD30-4A50-A7A8-3B378D81DB38}"/>
    <cellStyle name="Total 7 2" xfId="6678" xr:uid="{96288291-6EA2-4EBC-AE05-885ACCE0CC08}"/>
    <cellStyle name="Total 8" xfId="3277" xr:uid="{EC8141B5-EAEE-4F7F-B658-6DD4A7C34D03}"/>
    <cellStyle name="Total 8 2" xfId="6679" xr:uid="{AD07642A-0526-4658-BC64-3F291EA4D032}"/>
    <cellStyle name="Total 9" xfId="3278" xr:uid="{FDD363A6-229B-4834-9EFB-909DA0AAB214}"/>
    <cellStyle name="Total 9 2" xfId="6680" xr:uid="{0A5228F4-F23C-4C2C-9331-E6D94E304504}"/>
    <cellStyle name="Total2" xfId="3279" xr:uid="{F6D127C3-1FCB-4330-A401-A5B4C4388E78}"/>
    <cellStyle name="veces" xfId="3280" xr:uid="{21839395-6BA6-49C1-8E8F-7DC0FE065991}"/>
    <cellStyle name="veces 2" xfId="3281" xr:uid="{EDC3370E-F2A5-4EB1-A939-0303B86A0415}"/>
    <cellStyle name="veces 2 2" xfId="3282" xr:uid="{6FD95C27-8667-4302-BCDB-6FB00F01C74D}"/>
    <cellStyle name="veces 2 2 2" xfId="6681" xr:uid="{631B36B3-5BEE-424F-8796-4C74376365BB}"/>
    <cellStyle name="veces 2 3" xfId="3283" xr:uid="{81492DFE-CEA8-439F-89C7-708ECBB65600}"/>
    <cellStyle name="veces 2 3 2" xfId="6682" xr:uid="{729FE986-4A78-4D6B-A1A8-4D69517EA157}"/>
    <cellStyle name="veces 2 4" xfId="3284" xr:uid="{75B7C7E9-8B1D-472C-A01C-959F29B2E69F}"/>
    <cellStyle name="veces 2 4 2" xfId="6683" xr:uid="{194A1FAB-B1D6-464A-A167-18266C66E9EE}"/>
    <cellStyle name="veces 2 5" xfId="3285" xr:uid="{D84A7E8F-C730-4182-BDCF-7E91876121C5}"/>
    <cellStyle name="veces 2 5 2" xfId="6684" xr:uid="{09ED341F-F448-4016-B864-5A21C5A77FC0}"/>
    <cellStyle name="veces 2 6" xfId="3286" xr:uid="{A38E1AEA-B5A2-49AE-A433-1230F8FF8374}"/>
    <cellStyle name="veces 2 6 2" xfId="6685" xr:uid="{BAA78996-89D8-4DBE-9A85-90BF85E0A5EB}"/>
    <cellStyle name="veces 2 7" xfId="6686" xr:uid="{666186B0-10B9-4012-A915-E66FA0E38EF2}"/>
    <cellStyle name="veces 3" xfId="3287" xr:uid="{3AC9C816-6A80-4AA2-BE74-B7900DB74FCA}"/>
    <cellStyle name="veces 3 2" xfId="3288" xr:uid="{82D3AFA9-C967-4E7D-B74A-504F1D605194}"/>
    <cellStyle name="veces 3 2 2" xfId="6687" xr:uid="{B4580983-D5F3-4BCD-B6DE-CF9DB3D161F2}"/>
    <cellStyle name="veces 3 3" xfId="3289" xr:uid="{BAF2E7AB-DA8A-49F0-A5E3-8ECF3533A3E4}"/>
    <cellStyle name="veces 3 3 2" xfId="6688" xr:uid="{E2CE4A80-5F37-41D5-9D5D-6E99B8FDE37B}"/>
    <cellStyle name="veces 3 4" xfId="3290" xr:uid="{A41FF64B-30EC-49FA-B501-9CA7D422D717}"/>
    <cellStyle name="veces 3 4 2" xfId="6689" xr:uid="{9F803A16-EC36-47FC-8F3F-F522FAC7FDD6}"/>
    <cellStyle name="veces 3 5" xfId="3291" xr:uid="{6333EBF5-DA16-4140-BF33-3B8FB95470B7}"/>
    <cellStyle name="veces 3 5 2" xfId="6690" xr:uid="{424A1BA9-EDFA-4A6D-B078-CB555DDF7360}"/>
    <cellStyle name="veces 3 6" xfId="3292" xr:uid="{9D56342C-76D3-4EDF-8550-629050B371A8}"/>
    <cellStyle name="veces 3 6 2" xfId="6691" xr:uid="{CF6E4ABC-273B-4376-A85E-412EAC821C8F}"/>
    <cellStyle name="veces 3 7" xfId="6692" xr:uid="{A125AE86-BF24-416D-94CD-3AE6639D7679}"/>
    <cellStyle name="veces 4" xfId="3293" xr:uid="{6D3FA3CD-9454-4699-AFA1-75B6E19D8583}"/>
    <cellStyle name="veces 4 2" xfId="3294" xr:uid="{5B18E196-90DA-494E-91EF-842C030565B8}"/>
    <cellStyle name="veces 4 2 2" xfId="6693" xr:uid="{AF9A0447-7B85-41D7-B0E4-AF3B99B1FD1F}"/>
    <cellStyle name="veces 4 3" xfId="3295" xr:uid="{C1641128-8BF3-4620-888A-F3C2057C34FD}"/>
    <cellStyle name="veces 4 3 2" xfId="6694" xr:uid="{8A2CC724-53AF-48B1-A848-D08776C81A12}"/>
    <cellStyle name="veces 4 4" xfId="3296" xr:uid="{6C5ADE10-3E1D-4A12-B1A3-2C8AA0C9FF76}"/>
    <cellStyle name="veces 4 4 2" xfId="6695" xr:uid="{B3785924-5B07-437A-BAC9-3DBB71E65C65}"/>
    <cellStyle name="veces 4 5" xfId="3297" xr:uid="{91D79C24-2ADA-4215-94A8-0AB57F42BF46}"/>
    <cellStyle name="veces 4 5 2" xfId="6696" xr:uid="{261426B7-560F-4A52-84DA-D1D4133333E8}"/>
    <cellStyle name="veces 4 6" xfId="3298" xr:uid="{9B52EBBD-7AD6-4BA3-91CD-17BA5636600B}"/>
    <cellStyle name="veces 4 6 2" xfId="6697" xr:uid="{95193C73-7C1C-411A-B813-FB1F6DBAFC46}"/>
    <cellStyle name="veces 4 7" xfId="6698" xr:uid="{6038A69C-2074-4359-9061-5353FCAA6D32}"/>
    <cellStyle name="veces 5" xfId="6699" xr:uid="{9BF0BACD-4072-43E5-8C55-5B6F0D4139F2}"/>
    <cellStyle name="Vírgula 13" xfId="13" xr:uid="{F0E926BD-AECB-4246-85FD-53C504835A8D}"/>
    <cellStyle name="Vírgula 13 2" xfId="6898" xr:uid="{B0D88A5F-EB97-40A1-9E79-A2B8A240EA18}"/>
    <cellStyle name="Vírgula 13 2 2" xfId="7539" xr:uid="{3A80033A-85C9-43EC-80BD-AEEE649897C2}"/>
    <cellStyle name="Vírgula 13 3" xfId="23" xr:uid="{2C883861-0F86-42E2-B992-AC884D92AFFF}"/>
    <cellStyle name="Vírgula 13 3 2" xfId="7869" xr:uid="{8EFADB22-D302-4886-9BD2-BD091CA3AD18}"/>
    <cellStyle name="Vírgula 13 3 3" xfId="7872" xr:uid="{8FC72B67-2D80-4C1D-8E5C-4E17A97411B9}"/>
    <cellStyle name="Vírgula 2" xfId="7867" xr:uid="{5A6B9F86-4990-40D1-BB86-97499F9B8AFC}"/>
  </cellStyles>
  <dxfs count="0"/>
  <tableStyles count="0" defaultTableStyle="TableStyleMedium2" defaultPivotStyle="PivotStyleLight16"/>
  <colors>
    <mruColors>
      <color rgb="FF050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3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8</xdr:col>
      <xdr:colOff>415790</xdr:colOff>
      <xdr:row>7</xdr:row>
      <xdr:rowOff>118514</xdr:rowOff>
    </xdr:from>
    <xdr:to>
      <xdr:col>10</xdr:col>
      <xdr:colOff>259371</xdr:colOff>
      <xdr:row>11</xdr:row>
      <xdr:rowOff>124354</xdr:rowOff>
    </xdr:to>
    <xdr:pic>
      <xdr:nvPicPr>
        <xdr:cNvPr id="13" name="Imagen 12">
          <a:extLst>
            <a:ext uri="{FF2B5EF4-FFF2-40B4-BE49-F238E27FC236}">
              <a16:creationId xmlns:a16="http://schemas.microsoft.com/office/drawing/2014/main" id="{AAA688C2-067E-47F6-9BAD-7FD5CFEAE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9644" y="1414972"/>
          <a:ext cx="1444310" cy="746674"/>
        </a:xfrm>
        <a:prstGeom prst="rect">
          <a:avLst/>
        </a:prstGeom>
      </xdr:spPr>
    </xdr:pic>
    <xdr:clientData/>
  </xdr:twoCellAnchor>
  <xdr:twoCellAnchor editAs="oneCell">
    <xdr:from>
      <xdr:col>0</xdr:col>
      <xdr:colOff>89959</xdr:colOff>
      <xdr:row>0</xdr:row>
      <xdr:rowOff>6615</xdr:rowOff>
    </xdr:from>
    <xdr:to>
      <xdr:col>1</xdr:col>
      <xdr:colOff>2373312</xdr:colOff>
      <xdr:row>7</xdr:row>
      <xdr:rowOff>141551</xdr:rowOff>
    </xdr:to>
    <xdr:pic>
      <xdr:nvPicPr>
        <xdr:cNvPr id="3" name="Imagen 2">
          <a:extLst>
            <a:ext uri="{FF2B5EF4-FFF2-40B4-BE49-F238E27FC236}">
              <a16:creationId xmlns:a16="http://schemas.microsoft.com/office/drawing/2014/main" id="{5A23A287-6AF6-463C-937A-7828971BB6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59" y="6615"/>
          <a:ext cx="2455332" cy="1431394"/>
        </a:xfrm>
        <a:prstGeom prst="rect">
          <a:avLst/>
        </a:prstGeom>
      </xdr:spPr>
    </xdr:pic>
    <xdr:clientData/>
  </xdr:twoCellAnchor>
  <xdr:twoCellAnchor editAs="oneCell">
    <xdr:from>
      <xdr:col>1</xdr:col>
      <xdr:colOff>2413000</xdr:colOff>
      <xdr:row>0</xdr:row>
      <xdr:rowOff>0</xdr:rowOff>
    </xdr:from>
    <xdr:to>
      <xdr:col>4</xdr:col>
      <xdr:colOff>45643</xdr:colOff>
      <xdr:row>7</xdr:row>
      <xdr:rowOff>136025</xdr:rowOff>
    </xdr:to>
    <xdr:pic>
      <xdr:nvPicPr>
        <xdr:cNvPr id="5" name="Imagen 4">
          <a:extLst>
            <a:ext uri="{FF2B5EF4-FFF2-40B4-BE49-F238E27FC236}">
              <a16:creationId xmlns:a16="http://schemas.microsoft.com/office/drawing/2014/main" id="{43458677-D829-4F54-A139-3D08CA1E68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84979" y="0"/>
          <a:ext cx="2385221" cy="1432483"/>
        </a:xfrm>
        <a:prstGeom prst="rect">
          <a:avLst/>
        </a:prstGeom>
      </xdr:spPr>
    </xdr:pic>
    <xdr:clientData/>
  </xdr:twoCellAnchor>
  <xdr:twoCellAnchor editAs="oneCell">
    <xdr:from>
      <xdr:col>10</xdr:col>
      <xdr:colOff>463021</xdr:colOff>
      <xdr:row>0</xdr:row>
      <xdr:rowOff>0</xdr:rowOff>
    </xdr:from>
    <xdr:to>
      <xdr:col>13</xdr:col>
      <xdr:colOff>19845</xdr:colOff>
      <xdr:row>7</xdr:row>
      <xdr:rowOff>134936</xdr:rowOff>
    </xdr:to>
    <xdr:pic>
      <xdr:nvPicPr>
        <xdr:cNvPr id="7" name="Imagen 6">
          <a:extLst>
            <a:ext uri="{FF2B5EF4-FFF2-40B4-BE49-F238E27FC236}">
              <a16:creationId xmlns:a16="http://schemas.microsoft.com/office/drawing/2014/main" id="{D1BB3B0C-A489-4035-A439-24975A29E6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17604" y="0"/>
          <a:ext cx="1957917" cy="1431394"/>
        </a:xfrm>
        <a:prstGeom prst="rect">
          <a:avLst/>
        </a:prstGeom>
      </xdr:spPr>
    </xdr:pic>
    <xdr:clientData/>
  </xdr:twoCellAnchor>
  <xdr:twoCellAnchor editAs="oneCell">
    <xdr:from>
      <xdr:col>4</xdr:col>
      <xdr:colOff>670719</xdr:colOff>
      <xdr:row>0</xdr:row>
      <xdr:rowOff>0</xdr:rowOff>
    </xdr:from>
    <xdr:to>
      <xdr:col>7</xdr:col>
      <xdr:colOff>631030</xdr:colOff>
      <xdr:row>7</xdr:row>
      <xdr:rowOff>134937</xdr:rowOff>
    </xdr:to>
    <xdr:pic>
      <xdr:nvPicPr>
        <xdr:cNvPr id="12" name="Imagen 11">
          <a:extLst>
            <a:ext uri="{FF2B5EF4-FFF2-40B4-BE49-F238E27FC236}">
              <a16:creationId xmlns:a16="http://schemas.microsoft.com/office/drawing/2014/main" id="{5777AE0C-4FF2-4D8C-B149-0019FA0D94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23115" y="0"/>
          <a:ext cx="2361406" cy="1431395"/>
        </a:xfrm>
        <a:prstGeom prst="rect">
          <a:avLst/>
        </a:prstGeom>
      </xdr:spPr>
    </xdr:pic>
    <xdr:clientData/>
  </xdr:twoCellAnchor>
  <xdr:twoCellAnchor editAs="oneCell">
    <xdr:from>
      <xdr:col>7</xdr:col>
      <xdr:colOff>669395</xdr:colOff>
      <xdr:row>0</xdr:row>
      <xdr:rowOff>0</xdr:rowOff>
    </xdr:from>
    <xdr:to>
      <xdr:col>10</xdr:col>
      <xdr:colOff>431270</xdr:colOff>
      <xdr:row>7</xdr:row>
      <xdr:rowOff>134936</xdr:rowOff>
    </xdr:to>
    <xdr:pic>
      <xdr:nvPicPr>
        <xdr:cNvPr id="15" name="Imagen 14">
          <a:extLst>
            <a:ext uri="{FF2B5EF4-FFF2-40B4-BE49-F238E27FC236}">
              <a16:creationId xmlns:a16="http://schemas.microsoft.com/office/drawing/2014/main" id="{1DD2BADA-C80D-401C-9577-A1C471749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22885" y="0"/>
          <a:ext cx="2162968" cy="14313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472440</xdr:colOff>
      <xdr:row>0</xdr:row>
      <xdr:rowOff>91440</xdr:rowOff>
    </xdr:from>
    <xdr:to>
      <xdr:col>6</xdr:col>
      <xdr:colOff>921174</xdr:colOff>
      <xdr:row>4</xdr:row>
      <xdr:rowOff>71389</xdr:rowOff>
    </xdr:to>
    <xdr:pic>
      <xdr:nvPicPr>
        <xdr:cNvPr id="3" name="Imagen 2">
          <a:extLst>
            <a:ext uri="{FF2B5EF4-FFF2-40B4-BE49-F238E27FC236}">
              <a16:creationId xmlns:a16="http://schemas.microsoft.com/office/drawing/2014/main" id="{00FDE2D1-2919-4BC1-90F6-A985347DBD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91440"/>
          <a:ext cx="1485900" cy="7690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20</xdr:col>
      <xdr:colOff>632845</xdr:colOff>
      <xdr:row>0</xdr:row>
      <xdr:rowOff>0</xdr:rowOff>
    </xdr:from>
    <xdr:to>
      <xdr:col>23</xdr:col>
      <xdr:colOff>774914</xdr:colOff>
      <xdr:row>6</xdr:row>
      <xdr:rowOff>211897</xdr:rowOff>
    </xdr:to>
    <xdr:pic>
      <xdr:nvPicPr>
        <xdr:cNvPr id="3" name="Imagen 2">
          <a:extLst>
            <a:ext uri="{FF2B5EF4-FFF2-40B4-BE49-F238E27FC236}">
              <a16:creationId xmlns:a16="http://schemas.microsoft.com/office/drawing/2014/main" id="{6E3794FE-51D0-4D93-B79A-FEE3019C7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9320" y="0"/>
          <a:ext cx="2505560" cy="1296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306273</xdr:colOff>
      <xdr:row>0</xdr:row>
      <xdr:rowOff>0</xdr:rowOff>
    </xdr:from>
    <xdr:ext cx="1725726" cy="884634"/>
    <xdr:pic>
      <xdr:nvPicPr>
        <xdr:cNvPr id="2" name="Imagen 1">
          <a:extLst>
            <a:ext uri="{FF2B5EF4-FFF2-40B4-BE49-F238E27FC236}">
              <a16:creationId xmlns:a16="http://schemas.microsoft.com/office/drawing/2014/main" id="{5D9A6A52-AF7A-46FE-8CD3-4402D06A5B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33423" y="0"/>
          <a:ext cx="1725726" cy="88463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3</xdr:col>
      <xdr:colOff>632460</xdr:colOff>
      <xdr:row>0</xdr:row>
      <xdr:rowOff>0</xdr:rowOff>
    </xdr:from>
    <xdr:to>
      <xdr:col>5</xdr:col>
      <xdr:colOff>144780</xdr:colOff>
      <xdr:row>3</xdr:row>
      <xdr:rowOff>161245</xdr:rowOff>
    </xdr:to>
    <xdr:pic>
      <xdr:nvPicPr>
        <xdr:cNvPr id="3" name="Imagen 2">
          <a:extLst>
            <a:ext uri="{FF2B5EF4-FFF2-40B4-BE49-F238E27FC236}">
              <a16:creationId xmlns:a16="http://schemas.microsoft.com/office/drawing/2014/main" id="{E6B989A3-E410-405B-86C8-BEE78394F1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6360" y="0"/>
          <a:ext cx="1371600" cy="7098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251461</xdr:colOff>
      <xdr:row>0</xdr:row>
      <xdr:rowOff>45720</xdr:rowOff>
    </xdr:from>
    <xdr:to>
      <xdr:col>6</xdr:col>
      <xdr:colOff>736600</xdr:colOff>
      <xdr:row>4</xdr:row>
      <xdr:rowOff>154231</xdr:rowOff>
    </xdr:to>
    <xdr:pic>
      <xdr:nvPicPr>
        <xdr:cNvPr id="2" name="Imagen 1">
          <a:extLst>
            <a:ext uri="{FF2B5EF4-FFF2-40B4-BE49-F238E27FC236}">
              <a16:creationId xmlns:a16="http://schemas.microsoft.com/office/drawing/2014/main" id="{4EB7835D-3B00-44D2-8579-F52495B9E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43061" y="45720"/>
          <a:ext cx="1577339" cy="8705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0</xdr:colOff>
      <xdr:row>2</xdr:row>
      <xdr:rowOff>12700</xdr:rowOff>
    </xdr:from>
    <xdr:ext cx="8829675" cy="264560"/>
    <xdr:sp macro="" textlink="">
      <xdr:nvSpPr>
        <xdr:cNvPr id="2" name="CuadroTexto 1">
          <a:extLst>
            <a:ext uri="{FF2B5EF4-FFF2-40B4-BE49-F238E27FC236}">
              <a16:creationId xmlns:a16="http://schemas.microsoft.com/office/drawing/2014/main" id="{AA6DE34B-8597-4BC4-9F35-8CA13FDE4A08}"/>
            </a:ext>
          </a:extLst>
        </xdr:cNvPr>
        <xdr:cNvSpPr txBox="1"/>
      </xdr:nvSpPr>
      <xdr:spPr>
        <a:xfrm>
          <a:off x="762000" y="196850"/>
          <a:ext cx="882967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72000" rtlCol="0" anchor="ctr" anchorCtr="1">
          <a:noAutofit/>
        </a:bodyPr>
        <a:lstStyle/>
        <a:p>
          <a:pPr marL="0" indent="0"/>
          <a:fld id="{C95EFA04-54B3-4DE7-9E32-725F0089A209}" type="TxLink">
            <a:rPr lang="en-US" sz="1200" b="1" i="0" u="none" strike="noStrike">
              <a:solidFill>
                <a:srgbClr val="0099FF"/>
              </a:solidFill>
              <a:latin typeface="Arial" panose="020B0604020202020204" pitchFamily="34" charset="0"/>
              <a:ea typeface="+mn-ea"/>
              <a:cs typeface="Arial" panose="020B0604020202020204" pitchFamily="34" charset="0"/>
            </a:rPr>
            <a:pPr marL="0" indent="0"/>
            <a:t>REPORTE PARTICIPACIÓN EFECTIVA</a:t>
          </a:fld>
          <a:endParaRPr lang="en-US" sz="1200" b="1">
            <a:solidFill>
              <a:srgbClr val="0099FF"/>
            </a:solidFill>
            <a:latin typeface="Arial" panose="020B0604020202020204" pitchFamily="34" charset="0"/>
            <a:ea typeface="+mn-ea"/>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13493751</xdr:colOff>
      <xdr:row>0</xdr:row>
      <xdr:rowOff>21167</xdr:rowOff>
    </xdr:from>
    <xdr:to>
      <xdr:col>3</xdr:col>
      <xdr:colOff>556684</xdr:colOff>
      <xdr:row>4</xdr:row>
      <xdr:rowOff>107809</xdr:rowOff>
    </xdr:to>
    <xdr:pic>
      <xdr:nvPicPr>
        <xdr:cNvPr id="5" name="Imagen 4">
          <a:extLst>
            <a:ext uri="{FF2B5EF4-FFF2-40B4-BE49-F238E27FC236}">
              <a16:creationId xmlns:a16="http://schemas.microsoft.com/office/drawing/2014/main" id="{4F010059-8BE0-4DE4-AB94-E54DA783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1251" y="21167"/>
          <a:ext cx="1619250" cy="8380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772026</xdr:colOff>
      <xdr:row>0</xdr:row>
      <xdr:rowOff>0</xdr:rowOff>
    </xdr:from>
    <xdr:to>
      <xdr:col>14</xdr:col>
      <xdr:colOff>574825</xdr:colOff>
      <xdr:row>5</xdr:row>
      <xdr:rowOff>50132</xdr:rowOff>
    </xdr:to>
    <xdr:pic>
      <xdr:nvPicPr>
        <xdr:cNvPr id="2" name="Imagen 1">
          <a:extLst>
            <a:ext uri="{FF2B5EF4-FFF2-40B4-BE49-F238E27FC236}">
              <a16:creationId xmlns:a16="http://schemas.microsoft.com/office/drawing/2014/main" id="{03A093E6-F507-4EDF-8EBE-73BB340BA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26476" y="0"/>
          <a:ext cx="1907471" cy="10312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369796</xdr:colOff>
      <xdr:row>0</xdr:row>
      <xdr:rowOff>0</xdr:rowOff>
    </xdr:from>
    <xdr:to>
      <xdr:col>14</xdr:col>
      <xdr:colOff>516779</xdr:colOff>
      <xdr:row>3</xdr:row>
      <xdr:rowOff>155789</xdr:rowOff>
    </xdr:to>
    <xdr:pic>
      <xdr:nvPicPr>
        <xdr:cNvPr id="3" name="Imagen 2">
          <a:extLst>
            <a:ext uri="{FF2B5EF4-FFF2-40B4-BE49-F238E27FC236}">
              <a16:creationId xmlns:a16="http://schemas.microsoft.com/office/drawing/2014/main" id="{4DDB8CB3-7285-419B-B712-FA22F2F0F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56046" y="0"/>
          <a:ext cx="1413808" cy="716083"/>
        </a:xfrm>
        <a:prstGeom prst="rect">
          <a:avLst/>
        </a:prstGeom>
      </xdr:spPr>
    </xdr:pic>
    <xdr:clientData/>
  </xdr:twoCellAnchor>
  <xdr:twoCellAnchor editAs="oneCell">
    <xdr:from>
      <xdr:col>13</xdr:col>
      <xdr:colOff>369796</xdr:colOff>
      <xdr:row>0</xdr:row>
      <xdr:rowOff>0</xdr:rowOff>
    </xdr:from>
    <xdr:to>
      <xdr:col>14</xdr:col>
      <xdr:colOff>516779</xdr:colOff>
      <xdr:row>3</xdr:row>
      <xdr:rowOff>155789</xdr:rowOff>
    </xdr:to>
    <xdr:pic>
      <xdr:nvPicPr>
        <xdr:cNvPr id="4" name="Imagen 3">
          <a:extLst>
            <a:ext uri="{FF2B5EF4-FFF2-40B4-BE49-F238E27FC236}">
              <a16:creationId xmlns:a16="http://schemas.microsoft.com/office/drawing/2014/main" id="{621EBA93-328D-4662-AFC7-04EF39D95A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57746" y="0"/>
          <a:ext cx="1416983" cy="7145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469053</xdr:colOff>
      <xdr:row>0</xdr:row>
      <xdr:rowOff>0</xdr:rowOff>
    </xdr:from>
    <xdr:to>
      <xdr:col>13</xdr:col>
      <xdr:colOff>16828</xdr:colOff>
      <xdr:row>6</xdr:row>
      <xdr:rowOff>19222</xdr:rowOff>
    </xdr:to>
    <xdr:pic>
      <xdr:nvPicPr>
        <xdr:cNvPr id="3" name="Imagen 2">
          <a:extLst>
            <a:ext uri="{FF2B5EF4-FFF2-40B4-BE49-F238E27FC236}">
              <a16:creationId xmlns:a16="http://schemas.microsoft.com/office/drawing/2014/main" id="{A584DA17-7895-4335-B5AF-F37812379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76985" y="0"/>
          <a:ext cx="2121140" cy="11041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790576</xdr:colOff>
      <xdr:row>0</xdr:row>
      <xdr:rowOff>0</xdr:rowOff>
    </xdr:from>
    <xdr:to>
      <xdr:col>14</xdr:col>
      <xdr:colOff>685801</xdr:colOff>
      <xdr:row>5</xdr:row>
      <xdr:rowOff>14067</xdr:rowOff>
    </xdr:to>
    <xdr:pic>
      <xdr:nvPicPr>
        <xdr:cNvPr id="2" name="Imagen 1">
          <a:extLst>
            <a:ext uri="{FF2B5EF4-FFF2-40B4-BE49-F238E27FC236}">
              <a16:creationId xmlns:a16="http://schemas.microsoft.com/office/drawing/2014/main" id="{D13DAF5D-AFF4-4567-BE0D-4AACE2D3C5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73401" y="0"/>
          <a:ext cx="1828800" cy="9951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104775</xdr:colOff>
      <xdr:row>5</xdr:row>
      <xdr:rowOff>48576</xdr:rowOff>
    </xdr:to>
    <xdr:pic>
      <xdr:nvPicPr>
        <xdr:cNvPr id="3" name="Imagen 2">
          <a:extLst>
            <a:ext uri="{FF2B5EF4-FFF2-40B4-BE49-F238E27FC236}">
              <a16:creationId xmlns:a16="http://schemas.microsoft.com/office/drawing/2014/main" id="{1A393758-FA49-4DF6-9567-D9E4C2422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39625" y="0"/>
          <a:ext cx="1952625" cy="1010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104775</xdr:colOff>
      <xdr:row>5</xdr:row>
      <xdr:rowOff>39051</xdr:rowOff>
    </xdr:to>
    <xdr:pic>
      <xdr:nvPicPr>
        <xdr:cNvPr id="2" name="Imagen 1">
          <a:extLst>
            <a:ext uri="{FF2B5EF4-FFF2-40B4-BE49-F238E27FC236}">
              <a16:creationId xmlns:a16="http://schemas.microsoft.com/office/drawing/2014/main" id="{9573CA26-032C-4C68-9592-0434900EEA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30150" y="0"/>
          <a:ext cx="1895475" cy="10106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810848</xdr:colOff>
      <xdr:row>0</xdr:row>
      <xdr:rowOff>0</xdr:rowOff>
    </xdr:from>
    <xdr:to>
      <xdr:col>14</xdr:col>
      <xdr:colOff>521026</xdr:colOff>
      <xdr:row>5</xdr:row>
      <xdr:rowOff>41677</xdr:rowOff>
    </xdr:to>
    <xdr:pic>
      <xdr:nvPicPr>
        <xdr:cNvPr id="3" name="Imagen 2">
          <a:extLst>
            <a:ext uri="{FF2B5EF4-FFF2-40B4-BE49-F238E27FC236}">
              <a16:creationId xmlns:a16="http://schemas.microsoft.com/office/drawing/2014/main" id="{19CA1F3A-5D67-43E7-A011-F8178404E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2540" y="0"/>
          <a:ext cx="1817076" cy="9404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saempresas.sharepoint.com/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sant01\Financiera\Modelo\Milenio\Consolidaci&#243;n\Nueva%20Consolidaci&#243;n\Filiales\Sensibilida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ancaInversion\Historicos\SEPT%2024\C.P\Presentaci&#243;n\Vinculo%20Blanc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sant01\Financiera\BancaInversion\Modelo\Milenio\L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sa1\FCC\CUSTOS\DESPESAS%20OPERACIONAIS\ANO%202007\10%20-%202007\PES1007%20RELATOR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sant01\ControlDeGestion\BancaInversion\Modelo\Milenio\Pres.%20C.P.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sant01\ControlDeGestion\DircontrolFinanyResult\EquipoSeguimientoGestion\EjecucionPresupuestal\2003\CONSOLIDADOS%20DE%20MESES\Gastos%20AOM%20consolidada%20mes%2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isaempresas.sharepoint.com/Temp/Modelo%20ingresos%20(19%20ago%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a1\ISA_VP_FinanzasCorporativas\ControlDeGestion\DATOS\LIQUIDAC\OCA&#20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sa1\ISA_VP_FinanzasCorporativas\Temp\Modelo%20ingresos%20(19%20ago%20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sa1\ISA_VP_FinanzasCorporativas\financiera\NuevaEstructura\Dir%20Recursos%20Financieros\Financiamiento%20y%20Admon%20Deuda\Deuda\Deuda\PRESUPUESTO\Modelo%20de%20Deuda%20-%20DEUDA%20report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isaempresas.sharepoint.com/financiera/NuevaEstructura/Dir%20Recursos%20Financieros/Financiamiento%20y%20Admon%20Deuda/Deuda/Deuda/PRESUPUESTO/Modelo%20de%20Deuda%20-%20DEUDA%20repor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sa1\ISA_VP_FinanzasCorporativas\ESTADOS%20FINANCIEROS\EEFF%202005\08_AGO%202005\EEFF%20AGO%202005%20REFORMULADO%2012SET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isaempresas.sharepoint.com/ESTADOS%20FINANCIEROS/EEFF%202005/08_AGO%202005/EEFF%20AGO%202005%20REFORMULADO%2012SET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isaempresas.sharepoint.com/Meus%20documentos/DESPESAS%20OPERACIONAIS/ANO%202003/BALCTEEP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sa1\ISA_VP_FinanzasCorporativas\Meus%20documentos\DESPESAS%20OPERACIONAIS\ANO%202003\BALCTEEP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nt01\ControlDeGestion\DATOS\LIQUIDAC\OCA&#20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isa3753\AppData\Local\Microsoft\Windows\INetCache\Content.Outlook\IHKK9WK7\Kit_Valoracion_Q2_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isa3753\Downloads\CTEEP%20Consolidado_Kit%20Inversionista%20vISA%20CTEEP%202Q2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isa3753\Downloads\EEFF%20TE%20Per%202022%20T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isa3753\AppData\Local\Microsoft\Windows\INetCache\Content.Outlook\IHKK9WK7\EEFF%20V&#237;as%20Chile%202T202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SA_Relaci&#243;nInversionistas/12.%20Webcast/2022/2Q22/Informaci&#243;n/Deuda/Deuda_Jun202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isa3753\AppData\Local\Microsoft\Windows\INetCache\Content.Outlook\IHKK9WK7\Dividendos%20kit_Inversionistas%20ISA.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isa3753\AppData\Local\Microsoft\Windows\INetCache\Content.Outlook\IHKK9WK7\2Q22%20Entregable%20Kit%20Inversionistas%202Q22.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isa3753\AppData\Local\Microsoft\Windows\INetCache\Content.Outlook\IHKK9WK7\Kit%20Inversionista%20Consolidado%20-%20Formato%20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isa3753\AppData\Local\Microsoft\Windows\INetCache\Content.Outlook\IHKK9WK7\01%20-%20Kit%20Inversionista%202Q22%20-%20Interchile%20V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sant01\Financiera\BancaInversion\Modelo\Archivos%20de%20seguridad\Prueba%20octubre\para%20quitar%20vincul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sant01\Financiera\UsoredT\valorSTN\ingr0303\REPOR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r4953\maria%20ines\maria%20ines\DATOS\Nueva%20carpeta\ingra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bilidad"/>
      <sheetName val="#¡REF"/>
      <sheetName val="DEUDACOP"/>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AT_GRUPO-B_ELPA"/>
      <sheetName val="REFAT_GRUPO-B_UNIDADES"/>
      <sheetName val="BD_REFATURAMENTO_GRUPO-B"/>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v>0</v>
          </cell>
        </row>
        <row r="9">
          <cell r="D9" t="str">
            <v>2005janeiroOESTE</v>
          </cell>
          <cell r="E9">
            <v>3260</v>
          </cell>
          <cell r="F9">
            <v>126</v>
          </cell>
          <cell r="G9">
            <v>0</v>
          </cell>
        </row>
        <row r="10">
          <cell r="D10" t="str">
            <v>2005janeiroABC</v>
          </cell>
          <cell r="E10">
            <v>2340</v>
          </cell>
          <cell r="F10">
            <v>0</v>
          </cell>
          <cell r="G10">
            <v>0</v>
          </cell>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v>0</v>
          </cell>
          <cell r="H19">
            <v>0</v>
          </cell>
        </row>
        <row r="20">
          <cell r="D20" t="str">
            <v>2005fevereiroOESTE</v>
          </cell>
          <cell r="E20">
            <v>3233</v>
          </cell>
          <cell r="F20">
            <v>173</v>
          </cell>
          <cell r="G20">
            <v>0</v>
          </cell>
          <cell r="H20">
            <v>0</v>
          </cell>
        </row>
        <row r="21">
          <cell r="D21" t="str">
            <v>2005fevereiroABC</v>
          </cell>
          <cell r="E21">
            <v>2335</v>
          </cell>
          <cell r="F21">
            <v>474</v>
          </cell>
          <cell r="G21">
            <v>0</v>
          </cell>
          <cell r="H21">
            <v>0</v>
          </cell>
        </row>
        <row r="22">
          <cell r="D22" t="str">
            <v>2005fevereiroUnidade Poder Publico</v>
          </cell>
          <cell r="E22">
            <v>11618</v>
          </cell>
          <cell r="F22">
            <v>769</v>
          </cell>
          <cell r="G22">
            <v>769</v>
          </cell>
          <cell r="H22">
            <v>0</v>
          </cell>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v>0</v>
          </cell>
          <cell r="H30">
            <v>0</v>
          </cell>
        </row>
        <row r="31">
          <cell r="D31" t="str">
            <v>2005marçoOESTE</v>
          </cell>
          <cell r="E31">
            <v>3130</v>
          </cell>
          <cell r="F31">
            <v>43</v>
          </cell>
          <cell r="G31">
            <v>0</v>
          </cell>
          <cell r="H31">
            <v>0</v>
          </cell>
        </row>
        <row r="32">
          <cell r="D32" t="str">
            <v>2005marçoABC</v>
          </cell>
          <cell r="E32">
            <v>2319</v>
          </cell>
          <cell r="F32">
            <v>943</v>
          </cell>
          <cell r="G32">
            <v>0</v>
          </cell>
          <cell r="H32">
            <v>0</v>
          </cell>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v>0</v>
          </cell>
          <cell r="F35">
            <v>0</v>
          </cell>
          <cell r="G35">
            <v>0</v>
          </cell>
          <cell r="H35">
            <v>0</v>
          </cell>
          <cell r="I35">
            <v>557.09806247528672</v>
          </cell>
          <cell r="J35">
            <v>869</v>
          </cell>
          <cell r="K35">
            <v>1264</v>
          </cell>
        </row>
        <row r="36">
          <cell r="D36" t="str">
            <v>2005abrilUnidade São Paulo Sul</v>
          </cell>
          <cell r="E36">
            <v>0</v>
          </cell>
          <cell r="F36">
            <v>0</v>
          </cell>
          <cell r="G36">
            <v>0</v>
          </cell>
          <cell r="H36">
            <v>0</v>
          </cell>
          <cell r="I36">
            <v>553.14609147927183</v>
          </cell>
          <cell r="J36">
            <v>1588</v>
          </cell>
          <cell r="K36">
            <v>934</v>
          </cell>
        </row>
        <row r="37">
          <cell r="D37" t="str">
            <v>2005abrilUnidade Anhembi</v>
          </cell>
          <cell r="E37">
            <v>0</v>
          </cell>
          <cell r="F37">
            <v>0</v>
          </cell>
          <cell r="G37">
            <v>0</v>
          </cell>
          <cell r="H37">
            <v>0</v>
          </cell>
          <cell r="I37">
            <v>369.61863133451715</v>
          </cell>
          <cell r="J37">
            <v>1324</v>
          </cell>
          <cell r="K37">
            <v>1194</v>
          </cell>
        </row>
        <row r="38">
          <cell r="D38" t="str">
            <v>2005abrilUnidade Centro</v>
          </cell>
          <cell r="E38">
            <v>0</v>
          </cell>
          <cell r="F38">
            <v>0</v>
          </cell>
          <cell r="G38">
            <v>0</v>
          </cell>
          <cell r="H38">
            <v>0</v>
          </cell>
          <cell r="I38">
            <v>891</v>
          </cell>
          <cell r="J38">
            <v>845</v>
          </cell>
          <cell r="K38">
            <v>1645</v>
          </cell>
        </row>
        <row r="39">
          <cell r="D39" t="str">
            <v>2005abrilUnidade Leste</v>
          </cell>
          <cell r="E39">
            <v>0</v>
          </cell>
          <cell r="F39">
            <v>0</v>
          </cell>
          <cell r="G39">
            <v>0</v>
          </cell>
          <cell r="H39">
            <v>0</v>
          </cell>
          <cell r="I39">
            <v>432.65428913664425</v>
          </cell>
          <cell r="J39">
            <v>2513</v>
          </cell>
          <cell r="K39">
            <v>1038</v>
          </cell>
        </row>
        <row r="40">
          <cell r="D40" t="str">
            <v>2005abrilUnidade Grande ABC</v>
          </cell>
          <cell r="E40">
            <v>0</v>
          </cell>
          <cell r="F40">
            <v>0</v>
          </cell>
          <cell r="G40">
            <v>0</v>
          </cell>
          <cell r="H40">
            <v>0</v>
          </cell>
          <cell r="I40">
            <v>565.65615501519756</v>
          </cell>
          <cell r="J40">
            <v>1356</v>
          </cell>
          <cell r="K40">
            <v>940</v>
          </cell>
        </row>
        <row r="41">
          <cell r="D41" t="str">
            <v>2005abrilCAPITAL</v>
          </cell>
          <cell r="E41">
            <v>0</v>
          </cell>
          <cell r="F41">
            <v>0</v>
          </cell>
          <cell r="G41">
            <v>0</v>
          </cell>
          <cell r="H41">
            <v>0</v>
          </cell>
        </row>
        <row r="42">
          <cell r="D42" t="str">
            <v>2005abrilOESTE</v>
          </cell>
          <cell r="E42">
            <v>0</v>
          </cell>
          <cell r="F42">
            <v>0</v>
          </cell>
          <cell r="G42">
            <v>0</v>
          </cell>
          <cell r="H42">
            <v>0</v>
          </cell>
        </row>
        <row r="43">
          <cell r="D43" t="str">
            <v>2005abrilABC</v>
          </cell>
          <cell r="E43">
            <v>0</v>
          </cell>
          <cell r="F43">
            <v>0</v>
          </cell>
          <cell r="G43">
            <v>0</v>
          </cell>
          <cell r="H43">
            <v>0</v>
          </cell>
        </row>
        <row r="44">
          <cell r="D44" t="str">
            <v>2005abrilUnidade Poder Publico</v>
          </cell>
          <cell r="E44" t="str">
            <v xml:space="preserve"> </v>
          </cell>
          <cell r="F44" t="str">
            <v xml:space="preserve"> </v>
          </cell>
          <cell r="H44" t="str">
            <v xml:space="preserve"> </v>
          </cell>
          <cell r="J44">
            <v>791</v>
          </cell>
        </row>
        <row r="45">
          <cell r="D45" t="str">
            <v>2005abrilAES Eletropaulo</v>
          </cell>
          <cell r="E45">
            <v>0</v>
          </cell>
          <cell r="F45">
            <v>0</v>
          </cell>
          <cell r="G45">
            <v>0</v>
          </cell>
          <cell r="H45">
            <v>0</v>
          </cell>
          <cell r="I45">
            <v>518</v>
          </cell>
          <cell r="J45">
            <v>8944</v>
          </cell>
          <cell r="K45">
            <v>1098</v>
          </cell>
        </row>
        <row r="46">
          <cell r="D46" t="str">
            <v>2005maioUnidade Oeste</v>
          </cell>
          <cell r="E46">
            <v>0</v>
          </cell>
          <cell r="F46">
            <v>0</v>
          </cell>
          <cell r="G46">
            <v>0</v>
          </cell>
          <cell r="H46">
            <v>0</v>
          </cell>
          <cell r="I46">
            <v>586</v>
          </cell>
          <cell r="J46">
            <v>867</v>
          </cell>
          <cell r="K46">
            <v>1268</v>
          </cell>
        </row>
        <row r="47">
          <cell r="D47" t="str">
            <v>2005maioUnidade São Paulo Sul</v>
          </cell>
          <cell r="E47">
            <v>0</v>
          </cell>
          <cell r="F47">
            <v>0</v>
          </cell>
          <cell r="G47">
            <v>0</v>
          </cell>
          <cell r="H47">
            <v>0</v>
          </cell>
          <cell r="I47">
            <v>545</v>
          </cell>
          <cell r="J47">
            <v>1548</v>
          </cell>
          <cell r="K47">
            <v>960</v>
          </cell>
        </row>
        <row r="48">
          <cell r="D48" t="str">
            <v>2005maioUnidade Anhembi</v>
          </cell>
          <cell r="E48">
            <v>0</v>
          </cell>
          <cell r="F48">
            <v>0</v>
          </cell>
          <cell r="G48">
            <v>0</v>
          </cell>
          <cell r="H48">
            <v>0</v>
          </cell>
          <cell r="I48">
            <v>382</v>
          </cell>
          <cell r="J48">
            <v>1253</v>
          </cell>
          <cell r="K48">
            <v>1213</v>
          </cell>
        </row>
        <row r="49">
          <cell r="D49" t="str">
            <v>2005maioUnidade Centro</v>
          </cell>
          <cell r="E49">
            <v>0</v>
          </cell>
          <cell r="F49">
            <v>0</v>
          </cell>
          <cell r="G49">
            <v>0</v>
          </cell>
          <cell r="H49">
            <v>0</v>
          </cell>
          <cell r="I49">
            <v>941</v>
          </cell>
          <cell r="J49">
            <v>846</v>
          </cell>
          <cell r="K49">
            <v>1642</v>
          </cell>
        </row>
        <row r="50">
          <cell r="D50" t="str">
            <v>2005maioUnidade Leste</v>
          </cell>
          <cell r="E50">
            <v>0</v>
          </cell>
          <cell r="F50">
            <v>0</v>
          </cell>
          <cell r="G50">
            <v>0</v>
          </cell>
          <cell r="H50">
            <v>0</v>
          </cell>
          <cell r="I50">
            <v>448</v>
          </cell>
          <cell r="J50">
            <v>2426</v>
          </cell>
          <cell r="K50">
            <v>1063</v>
          </cell>
        </row>
        <row r="51">
          <cell r="D51" t="str">
            <v>2005maioUnidade Grande ABC</v>
          </cell>
          <cell r="E51">
            <v>0</v>
          </cell>
          <cell r="F51">
            <v>0</v>
          </cell>
          <cell r="G51">
            <v>0</v>
          </cell>
          <cell r="H51">
            <v>0</v>
          </cell>
          <cell r="I51">
            <v>591</v>
          </cell>
          <cell r="J51">
            <v>1303</v>
          </cell>
          <cell r="K51">
            <v>987</v>
          </cell>
        </row>
        <row r="52">
          <cell r="D52" t="str">
            <v>2005maioCAPITAL</v>
          </cell>
          <cell r="E52">
            <v>0</v>
          </cell>
          <cell r="F52">
            <v>0</v>
          </cell>
          <cell r="G52">
            <v>0</v>
          </cell>
          <cell r="H52">
            <v>0</v>
          </cell>
        </row>
        <row r="53">
          <cell r="D53" t="str">
            <v>2005maioOESTE</v>
          </cell>
          <cell r="E53">
            <v>0</v>
          </cell>
          <cell r="F53">
            <v>0</v>
          </cell>
          <cell r="G53">
            <v>0</v>
          </cell>
          <cell r="H53">
            <v>0</v>
          </cell>
        </row>
        <row r="54">
          <cell r="D54" t="str">
            <v>2005maioABC</v>
          </cell>
          <cell r="E54">
            <v>0</v>
          </cell>
          <cell r="F54">
            <v>0</v>
          </cell>
          <cell r="G54">
            <v>0</v>
          </cell>
          <cell r="H54">
            <v>0</v>
          </cell>
        </row>
        <row r="55">
          <cell r="D55" t="str">
            <v>2005maioUnidade Poder Publico</v>
          </cell>
          <cell r="E55" t="str">
            <v xml:space="preserve"> </v>
          </cell>
          <cell r="F55" t="str">
            <v xml:space="preserve"> </v>
          </cell>
          <cell r="H55" t="str">
            <v xml:space="preserve"> </v>
          </cell>
          <cell r="J55">
            <v>789</v>
          </cell>
        </row>
        <row r="56">
          <cell r="D56" t="str">
            <v>2005maioAES Eletropaulo</v>
          </cell>
          <cell r="E56">
            <v>0</v>
          </cell>
          <cell r="F56">
            <v>0</v>
          </cell>
          <cell r="G56">
            <v>0</v>
          </cell>
          <cell r="H56">
            <v>0</v>
          </cell>
          <cell r="I56">
            <v>533</v>
          </cell>
          <cell r="J56">
            <v>8633</v>
          </cell>
          <cell r="K56">
            <v>1117</v>
          </cell>
        </row>
        <row r="57">
          <cell r="D57" t="str">
            <v>2005junhoUnidade Oeste</v>
          </cell>
          <cell r="E57">
            <v>0</v>
          </cell>
          <cell r="F57">
            <v>0</v>
          </cell>
          <cell r="G57">
            <v>0</v>
          </cell>
          <cell r="H57">
            <v>0</v>
          </cell>
          <cell r="I57">
            <v>623.4454759799587</v>
          </cell>
          <cell r="J57">
            <v>864</v>
          </cell>
          <cell r="K57">
            <v>1273</v>
          </cell>
        </row>
        <row r="58">
          <cell r="D58" t="str">
            <v>2005junhoUnidade São Paulo Sul</v>
          </cell>
          <cell r="E58">
            <v>0</v>
          </cell>
          <cell r="F58">
            <v>0</v>
          </cell>
          <cell r="G58">
            <v>0</v>
          </cell>
          <cell r="H58">
            <v>0</v>
          </cell>
          <cell r="I58">
            <v>546.96609657947681</v>
          </cell>
          <cell r="J58">
            <v>1510</v>
          </cell>
          <cell r="K58">
            <v>987</v>
          </cell>
        </row>
        <row r="59">
          <cell r="D59" t="str">
            <v>2005junhoUnidade Anhembi</v>
          </cell>
          <cell r="E59">
            <v>0</v>
          </cell>
          <cell r="F59">
            <v>0</v>
          </cell>
          <cell r="G59">
            <v>0</v>
          </cell>
          <cell r="H59">
            <v>0</v>
          </cell>
          <cell r="I59">
            <v>409.84953703703701</v>
          </cell>
          <cell r="J59">
            <v>1185</v>
          </cell>
          <cell r="K59">
            <v>1233</v>
          </cell>
        </row>
        <row r="60">
          <cell r="D60" t="str">
            <v>2005junhoUnidade Centro</v>
          </cell>
          <cell r="E60">
            <v>0</v>
          </cell>
          <cell r="F60">
            <v>0</v>
          </cell>
          <cell r="G60">
            <v>0</v>
          </cell>
          <cell r="H60">
            <v>0</v>
          </cell>
          <cell r="I60">
            <v>975</v>
          </cell>
          <cell r="J60">
            <v>846</v>
          </cell>
          <cell r="K60">
            <v>1639</v>
          </cell>
        </row>
        <row r="61">
          <cell r="D61" t="str">
            <v>2005junhoUnidade Leste</v>
          </cell>
          <cell r="E61">
            <v>0</v>
          </cell>
          <cell r="F61">
            <v>0</v>
          </cell>
          <cell r="G61">
            <v>0</v>
          </cell>
          <cell r="H61">
            <v>0</v>
          </cell>
          <cell r="I61">
            <v>467.77883850437547</v>
          </cell>
          <cell r="J61">
            <v>2343</v>
          </cell>
          <cell r="K61">
            <v>1090</v>
          </cell>
        </row>
        <row r="62">
          <cell r="D62" t="str">
            <v>2005junhoUnidade Grande ABC</v>
          </cell>
          <cell r="E62">
            <v>0</v>
          </cell>
          <cell r="F62">
            <v>0</v>
          </cell>
          <cell r="G62">
            <v>0</v>
          </cell>
          <cell r="H62">
            <v>0</v>
          </cell>
          <cell r="I62">
            <v>611.07614628820966</v>
          </cell>
          <cell r="J62">
            <v>1252</v>
          </cell>
          <cell r="K62">
            <v>1037</v>
          </cell>
        </row>
        <row r="63">
          <cell r="D63" t="str">
            <v>2005junhoCAPITAL</v>
          </cell>
          <cell r="E63">
            <v>0</v>
          </cell>
          <cell r="F63">
            <v>0</v>
          </cell>
          <cell r="G63">
            <v>0</v>
          </cell>
          <cell r="H63">
            <v>0</v>
          </cell>
        </row>
        <row r="64">
          <cell r="D64" t="str">
            <v>2005junhoOESTE</v>
          </cell>
          <cell r="E64">
            <v>0</v>
          </cell>
          <cell r="F64">
            <v>0</v>
          </cell>
          <cell r="G64">
            <v>0</v>
          </cell>
          <cell r="H64">
            <v>0</v>
          </cell>
        </row>
        <row r="65">
          <cell r="D65" t="str">
            <v>2005junhoABC</v>
          </cell>
          <cell r="E65">
            <v>0</v>
          </cell>
          <cell r="F65">
            <v>0</v>
          </cell>
          <cell r="G65">
            <v>0</v>
          </cell>
          <cell r="H65">
            <v>0</v>
          </cell>
        </row>
        <row r="66">
          <cell r="D66" t="str">
            <v>2005junhoUnidade Poder Publico</v>
          </cell>
          <cell r="E66" t="str">
            <v xml:space="preserve"> </v>
          </cell>
          <cell r="F66" t="str">
            <v xml:space="preserve"> </v>
          </cell>
          <cell r="H66" t="str">
            <v xml:space="preserve"> </v>
          </cell>
          <cell r="J66">
            <v>786</v>
          </cell>
        </row>
        <row r="67">
          <cell r="D67" t="str">
            <v>2005junhoAES Eletropaulo</v>
          </cell>
          <cell r="E67">
            <v>0</v>
          </cell>
          <cell r="F67">
            <v>0</v>
          </cell>
          <cell r="G67">
            <v>0</v>
          </cell>
          <cell r="H67">
            <v>0</v>
          </cell>
          <cell r="I67">
            <v>557</v>
          </cell>
          <cell r="J67">
            <v>8332</v>
          </cell>
          <cell r="K67">
            <v>1136</v>
          </cell>
        </row>
        <row r="68">
          <cell r="D68" t="str">
            <v>2005julhoUnidade Oeste</v>
          </cell>
          <cell r="E68">
            <v>0</v>
          </cell>
          <cell r="F68">
            <v>0</v>
          </cell>
          <cell r="G68">
            <v>0</v>
          </cell>
          <cell r="H68">
            <v>0</v>
          </cell>
          <cell r="I68">
            <v>647.30774269618757</v>
          </cell>
          <cell r="J68">
            <v>862</v>
          </cell>
          <cell r="K68">
            <v>1277</v>
          </cell>
        </row>
        <row r="69">
          <cell r="D69" t="str">
            <v>2005julhoUnidade São Paulo Sul</v>
          </cell>
          <cell r="E69">
            <v>0</v>
          </cell>
          <cell r="F69">
            <v>0</v>
          </cell>
          <cell r="G69">
            <v>0</v>
          </cell>
          <cell r="H69">
            <v>0</v>
          </cell>
          <cell r="I69">
            <v>547.53747951349953</v>
          </cell>
          <cell r="J69">
            <v>1473</v>
          </cell>
          <cell r="K69">
            <v>1015</v>
          </cell>
        </row>
        <row r="70">
          <cell r="D70" t="str">
            <v>2005julhoUnidade Anhembi</v>
          </cell>
          <cell r="E70">
            <v>0</v>
          </cell>
          <cell r="F70">
            <v>0</v>
          </cell>
          <cell r="G70">
            <v>0</v>
          </cell>
          <cell r="H70">
            <v>0</v>
          </cell>
          <cell r="I70">
            <v>429.62757313109427</v>
          </cell>
          <cell r="J70">
            <v>1121</v>
          </cell>
          <cell r="K70">
            <v>1253</v>
          </cell>
        </row>
        <row r="71">
          <cell r="D71" t="str">
            <v>2005julhoUnidade Centro</v>
          </cell>
          <cell r="E71">
            <v>0</v>
          </cell>
          <cell r="F71">
            <v>0</v>
          </cell>
          <cell r="G71">
            <v>0</v>
          </cell>
          <cell r="H71">
            <v>0</v>
          </cell>
          <cell r="I71">
            <v>1012</v>
          </cell>
          <cell r="J71">
            <v>847</v>
          </cell>
          <cell r="K71">
            <v>1636</v>
          </cell>
        </row>
        <row r="72">
          <cell r="D72" t="str">
            <v>2005julhoUnidade Leste</v>
          </cell>
          <cell r="E72">
            <v>0</v>
          </cell>
          <cell r="F72">
            <v>0</v>
          </cell>
          <cell r="G72">
            <v>0</v>
          </cell>
          <cell r="H72">
            <v>0</v>
          </cell>
          <cell r="I72">
            <v>484.29740366541353</v>
          </cell>
          <cell r="J72">
            <v>2263</v>
          </cell>
          <cell r="K72">
            <v>1116</v>
          </cell>
        </row>
        <row r="73">
          <cell r="D73" t="str">
            <v>2005julhoUnidade Grande ABC</v>
          </cell>
          <cell r="E73">
            <v>0</v>
          </cell>
          <cell r="F73">
            <v>0</v>
          </cell>
          <cell r="G73">
            <v>0</v>
          </cell>
          <cell r="H73">
            <v>0</v>
          </cell>
          <cell r="I73">
            <v>625.8533141899976</v>
          </cell>
          <cell r="J73">
            <v>1203</v>
          </cell>
          <cell r="K73">
            <v>1089</v>
          </cell>
        </row>
        <row r="74">
          <cell r="D74" t="str">
            <v>2005julhoCAPITAL</v>
          </cell>
          <cell r="E74">
            <v>0</v>
          </cell>
          <cell r="F74">
            <v>0</v>
          </cell>
          <cell r="G74">
            <v>0</v>
          </cell>
          <cell r="H74">
            <v>0</v>
          </cell>
        </row>
        <row r="75">
          <cell r="D75" t="str">
            <v>2005julhoOESTE</v>
          </cell>
          <cell r="E75">
            <v>0</v>
          </cell>
          <cell r="F75">
            <v>0</v>
          </cell>
          <cell r="G75">
            <v>0</v>
          </cell>
          <cell r="H75">
            <v>0</v>
          </cell>
        </row>
        <row r="76">
          <cell r="D76" t="str">
            <v>2005julhoABC</v>
          </cell>
          <cell r="E76">
            <v>0</v>
          </cell>
          <cell r="F76">
            <v>0</v>
          </cell>
          <cell r="G76">
            <v>0</v>
          </cell>
          <cell r="H76">
            <v>0</v>
          </cell>
        </row>
        <row r="77">
          <cell r="D77" t="str">
            <v>2005julhoUnidade Poder Publico</v>
          </cell>
          <cell r="E77" t="str">
            <v xml:space="preserve"> </v>
          </cell>
          <cell r="F77" t="str">
            <v xml:space="preserve"> </v>
          </cell>
          <cell r="H77" t="str">
            <v xml:space="preserve"> </v>
          </cell>
          <cell r="J77">
            <v>784</v>
          </cell>
        </row>
        <row r="78">
          <cell r="D78" t="str">
            <v>2005julhoAES Eletropaulo</v>
          </cell>
          <cell r="E78">
            <v>0</v>
          </cell>
          <cell r="F78">
            <v>0</v>
          </cell>
          <cell r="G78">
            <v>0</v>
          </cell>
          <cell r="H78">
            <v>0</v>
          </cell>
          <cell r="I78">
            <v>574</v>
          </cell>
          <cell r="J78">
            <v>8042</v>
          </cell>
          <cell r="K78">
            <v>1155</v>
          </cell>
        </row>
        <row r="79">
          <cell r="D79" t="str">
            <v>2005agostoUnidade Oeste</v>
          </cell>
          <cell r="E79">
            <v>0</v>
          </cell>
          <cell r="F79">
            <v>0</v>
          </cell>
          <cell r="G79">
            <v>0</v>
          </cell>
          <cell r="H79">
            <v>0</v>
          </cell>
          <cell r="I79">
            <v>668.86050917702778</v>
          </cell>
          <cell r="J79">
            <v>860</v>
          </cell>
          <cell r="K79">
            <v>1282</v>
          </cell>
        </row>
        <row r="80">
          <cell r="D80" t="str">
            <v>2005agostoUnidade São Paulo Sul</v>
          </cell>
          <cell r="E80">
            <v>0</v>
          </cell>
          <cell r="F80">
            <v>0</v>
          </cell>
          <cell r="G80">
            <v>0</v>
          </cell>
          <cell r="H80">
            <v>0</v>
          </cell>
          <cell r="I80">
            <v>546.85010545344983</v>
          </cell>
          <cell r="J80">
            <v>1436</v>
          </cell>
          <cell r="K80">
            <v>1043</v>
          </cell>
        </row>
        <row r="81">
          <cell r="D81" t="str">
            <v>2005agostoUnidade Anhembi</v>
          </cell>
          <cell r="E81">
            <v>0</v>
          </cell>
          <cell r="F81">
            <v>0</v>
          </cell>
          <cell r="G81">
            <v>0</v>
          </cell>
          <cell r="H81">
            <v>0</v>
          </cell>
          <cell r="I81">
            <v>447.72423993426457</v>
          </cell>
          <cell r="J81">
            <v>1061</v>
          </cell>
          <cell r="K81">
            <v>1273</v>
          </cell>
        </row>
        <row r="82">
          <cell r="D82" t="str">
            <v>2005agostoUnidade Centro</v>
          </cell>
          <cell r="E82">
            <v>0</v>
          </cell>
          <cell r="F82">
            <v>0</v>
          </cell>
          <cell r="G82">
            <v>0</v>
          </cell>
          <cell r="H82">
            <v>0</v>
          </cell>
          <cell r="I82">
            <v>1049</v>
          </cell>
          <cell r="J82">
            <v>848</v>
          </cell>
          <cell r="K82">
            <v>1632</v>
          </cell>
        </row>
        <row r="83">
          <cell r="D83" t="str">
            <v>2005agostoUnidade Leste</v>
          </cell>
          <cell r="E83">
            <v>0</v>
          </cell>
          <cell r="F83">
            <v>0</v>
          </cell>
          <cell r="G83">
            <v>0</v>
          </cell>
          <cell r="H83">
            <v>0</v>
          </cell>
          <cell r="I83">
            <v>492.82316404822797</v>
          </cell>
          <cell r="J83">
            <v>2185</v>
          </cell>
          <cell r="K83">
            <v>1144</v>
          </cell>
        </row>
        <row r="84">
          <cell r="D84" t="str">
            <v>2005agostoUnidade Grande ABC</v>
          </cell>
          <cell r="E84">
            <v>0</v>
          </cell>
          <cell r="F84">
            <v>0</v>
          </cell>
          <cell r="G84">
            <v>0</v>
          </cell>
          <cell r="H84">
            <v>0</v>
          </cell>
          <cell r="I84">
            <v>626.20473100272136</v>
          </cell>
          <cell r="J84">
            <v>1157</v>
          </cell>
          <cell r="K84">
            <v>1143</v>
          </cell>
        </row>
        <row r="85">
          <cell r="D85" t="str">
            <v>2005agostoCAPITAL</v>
          </cell>
          <cell r="E85">
            <v>0</v>
          </cell>
          <cell r="F85">
            <v>0</v>
          </cell>
          <cell r="G85">
            <v>0</v>
          </cell>
          <cell r="H85">
            <v>0</v>
          </cell>
        </row>
        <row r="86">
          <cell r="D86" t="str">
            <v>2005agostoOESTE</v>
          </cell>
          <cell r="E86">
            <v>0</v>
          </cell>
          <cell r="F86">
            <v>0</v>
          </cell>
          <cell r="G86">
            <v>0</v>
          </cell>
          <cell r="H86">
            <v>0</v>
          </cell>
        </row>
        <row r="87">
          <cell r="D87" t="str">
            <v>2005agostoABC</v>
          </cell>
          <cell r="E87">
            <v>0</v>
          </cell>
          <cell r="F87">
            <v>0</v>
          </cell>
          <cell r="G87">
            <v>0</v>
          </cell>
          <cell r="H87">
            <v>0</v>
          </cell>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v>0</v>
          </cell>
          <cell r="F89">
            <v>0</v>
          </cell>
          <cell r="G89">
            <v>0</v>
          </cell>
          <cell r="H89">
            <v>0</v>
          </cell>
          <cell r="I89">
            <v>585</v>
          </cell>
          <cell r="J89">
            <v>7762</v>
          </cell>
          <cell r="K89">
            <v>1175</v>
          </cell>
        </row>
        <row r="90">
          <cell r="D90" t="str">
            <v>2005setembroUnidade Oeste</v>
          </cell>
          <cell r="E90">
            <v>0</v>
          </cell>
          <cell r="F90">
            <v>0</v>
          </cell>
          <cell r="G90">
            <v>0</v>
          </cell>
          <cell r="H90">
            <v>0</v>
          </cell>
          <cell r="I90">
            <v>695.33227744401961</v>
          </cell>
          <cell r="J90">
            <v>857</v>
          </cell>
          <cell r="K90">
            <v>1286</v>
          </cell>
        </row>
        <row r="91">
          <cell r="D91" t="str">
            <v>2005setembroUnidade São Paulo Sul</v>
          </cell>
          <cell r="E91">
            <v>0</v>
          </cell>
          <cell r="F91">
            <v>0</v>
          </cell>
          <cell r="G91">
            <v>0</v>
          </cell>
          <cell r="H91">
            <v>0</v>
          </cell>
          <cell r="I91">
            <v>563.28971125353178</v>
          </cell>
          <cell r="J91">
            <v>1401</v>
          </cell>
          <cell r="K91">
            <v>1073</v>
          </cell>
        </row>
        <row r="92">
          <cell r="D92" t="str">
            <v>2005setembroUnidade Anhembi</v>
          </cell>
          <cell r="E92">
            <v>0</v>
          </cell>
          <cell r="F92">
            <v>0</v>
          </cell>
          <cell r="G92">
            <v>0</v>
          </cell>
          <cell r="H92">
            <v>0</v>
          </cell>
          <cell r="I92">
            <v>486.81643813901877</v>
          </cell>
          <cell r="J92">
            <v>1004</v>
          </cell>
          <cell r="K92">
            <v>1293</v>
          </cell>
        </row>
        <row r="93">
          <cell r="D93" t="str">
            <v>2005setembroUnidade Centro</v>
          </cell>
          <cell r="E93">
            <v>0</v>
          </cell>
          <cell r="F93">
            <v>0</v>
          </cell>
          <cell r="G93">
            <v>0</v>
          </cell>
          <cell r="H93">
            <v>0</v>
          </cell>
          <cell r="I93">
            <v>1049</v>
          </cell>
          <cell r="J93">
            <v>848</v>
          </cell>
          <cell r="K93">
            <v>1629</v>
          </cell>
        </row>
        <row r="94">
          <cell r="D94" t="str">
            <v>2005setembroUnidade Leste</v>
          </cell>
          <cell r="E94">
            <v>0</v>
          </cell>
          <cell r="F94">
            <v>0</v>
          </cell>
          <cell r="G94">
            <v>0</v>
          </cell>
          <cell r="H94">
            <v>0</v>
          </cell>
          <cell r="I94">
            <v>514.88249806501551</v>
          </cell>
          <cell r="J94">
            <v>2110</v>
          </cell>
          <cell r="K94">
            <v>1172</v>
          </cell>
        </row>
        <row r="95">
          <cell r="D95" t="str">
            <v>2005setembroUnidade Grande ABC</v>
          </cell>
          <cell r="E95">
            <v>0</v>
          </cell>
          <cell r="F95">
            <v>0</v>
          </cell>
          <cell r="G95">
            <v>0</v>
          </cell>
          <cell r="H95">
            <v>0</v>
          </cell>
          <cell r="I95">
            <v>618.54271817931544</v>
          </cell>
          <cell r="J95">
            <v>1111</v>
          </cell>
          <cell r="K95">
            <v>1200</v>
          </cell>
        </row>
        <row r="96">
          <cell r="D96" t="str">
            <v>2005setembroCAPITAL</v>
          </cell>
          <cell r="E96">
            <v>0</v>
          </cell>
          <cell r="F96">
            <v>0</v>
          </cell>
          <cell r="G96">
            <v>0</v>
          </cell>
          <cell r="H96">
            <v>0</v>
          </cell>
        </row>
        <row r="97">
          <cell r="D97" t="str">
            <v>2005setembroOESTE</v>
          </cell>
          <cell r="E97">
            <v>0</v>
          </cell>
          <cell r="F97">
            <v>0</v>
          </cell>
          <cell r="G97">
            <v>0</v>
          </cell>
          <cell r="H97">
            <v>0</v>
          </cell>
        </row>
        <row r="98">
          <cell r="D98" t="str">
            <v>2005setembroABC</v>
          </cell>
          <cell r="E98">
            <v>0</v>
          </cell>
          <cell r="F98">
            <v>0</v>
          </cell>
          <cell r="G98">
            <v>0</v>
          </cell>
          <cell r="H98">
            <v>0</v>
          </cell>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v>0</v>
          </cell>
          <cell r="F100">
            <v>0</v>
          </cell>
          <cell r="G100">
            <v>0</v>
          </cell>
          <cell r="H100">
            <v>0</v>
          </cell>
          <cell r="I100">
            <v>608</v>
          </cell>
          <cell r="J100">
            <v>7492</v>
          </cell>
          <cell r="K100">
            <v>1195</v>
          </cell>
        </row>
        <row r="101">
          <cell r="D101" t="str">
            <v>2005outubroUnidade Oeste</v>
          </cell>
          <cell r="E101">
            <v>0</v>
          </cell>
          <cell r="F101">
            <v>0</v>
          </cell>
          <cell r="G101">
            <v>0</v>
          </cell>
          <cell r="H101">
            <v>0</v>
          </cell>
          <cell r="I101">
            <v>730.32814432989687</v>
          </cell>
          <cell r="J101">
            <v>855</v>
          </cell>
          <cell r="K101">
            <v>1291</v>
          </cell>
        </row>
        <row r="102">
          <cell r="D102" t="str">
            <v>2005outubroUnidade São Paulo Sul</v>
          </cell>
          <cell r="E102">
            <v>0</v>
          </cell>
          <cell r="F102">
            <v>0</v>
          </cell>
          <cell r="G102">
            <v>0</v>
          </cell>
          <cell r="H102">
            <v>0</v>
          </cell>
          <cell r="I102">
            <v>586</v>
          </cell>
          <cell r="J102">
            <v>1366</v>
          </cell>
          <cell r="K102">
            <v>1103</v>
          </cell>
        </row>
        <row r="103">
          <cell r="D103" t="str">
            <v>2005outubroUnidade Anhembi</v>
          </cell>
          <cell r="E103">
            <v>0</v>
          </cell>
          <cell r="F103">
            <v>0</v>
          </cell>
          <cell r="G103">
            <v>0</v>
          </cell>
          <cell r="H103">
            <v>0</v>
          </cell>
          <cell r="I103">
            <v>516.66364392050173</v>
          </cell>
          <cell r="J103">
            <v>950</v>
          </cell>
          <cell r="K103">
            <v>1314</v>
          </cell>
        </row>
        <row r="104">
          <cell r="D104" t="str">
            <v>2005outubroUnidade Centro</v>
          </cell>
          <cell r="E104">
            <v>0</v>
          </cell>
          <cell r="F104">
            <v>0</v>
          </cell>
          <cell r="G104">
            <v>0</v>
          </cell>
          <cell r="H104">
            <v>0</v>
          </cell>
          <cell r="I104">
            <v>1051</v>
          </cell>
          <cell r="J104">
            <v>849</v>
          </cell>
          <cell r="K104">
            <v>1626</v>
          </cell>
        </row>
        <row r="105">
          <cell r="D105" t="str">
            <v>2005outubroUnidade Leste</v>
          </cell>
          <cell r="E105">
            <v>0</v>
          </cell>
          <cell r="F105">
            <v>0</v>
          </cell>
          <cell r="G105">
            <v>0</v>
          </cell>
          <cell r="H105">
            <v>0</v>
          </cell>
          <cell r="I105">
            <v>549.95960627727732</v>
          </cell>
          <cell r="J105">
            <v>2038</v>
          </cell>
          <cell r="K105">
            <v>1200</v>
          </cell>
        </row>
        <row r="106">
          <cell r="D106" t="str">
            <v>2005outubroUnidade Grande ABC</v>
          </cell>
          <cell r="E106">
            <v>0</v>
          </cell>
          <cell r="F106">
            <v>0</v>
          </cell>
          <cell r="G106">
            <v>0</v>
          </cell>
          <cell r="H106">
            <v>0</v>
          </cell>
          <cell r="I106">
            <v>631.03459013634074</v>
          </cell>
          <cell r="J106">
            <v>1068</v>
          </cell>
          <cell r="K106">
            <v>1260</v>
          </cell>
        </row>
        <row r="107">
          <cell r="D107" t="str">
            <v>2005outubroCAPITAL</v>
          </cell>
          <cell r="E107">
            <v>0</v>
          </cell>
          <cell r="F107">
            <v>0</v>
          </cell>
          <cell r="G107">
            <v>0</v>
          </cell>
          <cell r="H107">
            <v>0</v>
          </cell>
        </row>
        <row r="108">
          <cell r="D108" t="str">
            <v>2005outubroOESTE</v>
          </cell>
          <cell r="E108">
            <v>0</v>
          </cell>
          <cell r="F108">
            <v>0</v>
          </cell>
          <cell r="G108">
            <v>0</v>
          </cell>
          <cell r="H108">
            <v>0</v>
          </cell>
        </row>
        <row r="109">
          <cell r="D109" t="str">
            <v>2005outubroABC</v>
          </cell>
          <cell r="E109">
            <v>0</v>
          </cell>
          <cell r="F109">
            <v>0</v>
          </cell>
          <cell r="G109">
            <v>0</v>
          </cell>
          <cell r="H109">
            <v>0</v>
          </cell>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v>0</v>
          </cell>
          <cell r="F111">
            <v>0</v>
          </cell>
          <cell r="G111">
            <v>0</v>
          </cell>
          <cell r="H111">
            <v>0</v>
          </cell>
          <cell r="I111">
            <v>636</v>
          </cell>
          <cell r="J111">
            <v>7231</v>
          </cell>
          <cell r="K111">
            <v>1215</v>
          </cell>
        </row>
        <row r="112">
          <cell r="D112" t="str">
            <v>2005novembroUnidade Oeste</v>
          </cell>
          <cell r="E112">
            <v>0</v>
          </cell>
          <cell r="F112">
            <v>0</v>
          </cell>
          <cell r="G112">
            <v>0</v>
          </cell>
          <cell r="H112">
            <v>0</v>
          </cell>
          <cell r="I112">
            <v>743.82671239401736</v>
          </cell>
          <cell r="J112">
            <v>853</v>
          </cell>
          <cell r="K112">
            <v>1295</v>
          </cell>
        </row>
        <row r="113">
          <cell r="D113" t="str">
            <v>2005novembroUnidade São Paulo Sul</v>
          </cell>
          <cell r="E113">
            <v>0</v>
          </cell>
          <cell r="F113">
            <v>0</v>
          </cell>
          <cell r="G113">
            <v>0</v>
          </cell>
          <cell r="H113">
            <v>0</v>
          </cell>
          <cell r="I113">
            <v>591.38001536370621</v>
          </cell>
          <cell r="J113">
            <v>1333</v>
          </cell>
          <cell r="K113">
            <v>1133</v>
          </cell>
        </row>
        <row r="114">
          <cell r="D114" t="str">
            <v>2005novembroUnidade Anhembi</v>
          </cell>
          <cell r="E114">
            <v>0</v>
          </cell>
          <cell r="F114">
            <v>0</v>
          </cell>
          <cell r="G114">
            <v>0</v>
          </cell>
          <cell r="H114">
            <v>0</v>
          </cell>
          <cell r="I114">
            <v>559.90277261577342</v>
          </cell>
          <cell r="J114">
            <v>898</v>
          </cell>
          <cell r="K114">
            <v>1335</v>
          </cell>
        </row>
        <row r="115">
          <cell r="D115" t="str">
            <v>2005novembroUnidade Centro</v>
          </cell>
          <cell r="E115">
            <v>0</v>
          </cell>
          <cell r="F115">
            <v>0</v>
          </cell>
          <cell r="G115">
            <v>0</v>
          </cell>
          <cell r="H115">
            <v>0</v>
          </cell>
          <cell r="I115">
            <v>1101</v>
          </cell>
          <cell r="J115">
            <v>850</v>
          </cell>
          <cell r="K115">
            <v>1623</v>
          </cell>
        </row>
        <row r="116">
          <cell r="D116" t="str">
            <v>2005novembroUnidade Leste</v>
          </cell>
          <cell r="E116">
            <v>0</v>
          </cell>
          <cell r="F116">
            <v>0</v>
          </cell>
          <cell r="G116">
            <v>0</v>
          </cell>
          <cell r="H116">
            <v>0</v>
          </cell>
          <cell r="I116">
            <v>568.82406801831257</v>
          </cell>
          <cell r="J116">
            <v>1968</v>
          </cell>
          <cell r="K116">
            <v>1230</v>
          </cell>
        </row>
        <row r="117">
          <cell r="D117" t="str">
            <v>2005novembroUnidade Grande ABC</v>
          </cell>
          <cell r="E117">
            <v>0</v>
          </cell>
          <cell r="F117">
            <v>0</v>
          </cell>
          <cell r="G117">
            <v>0</v>
          </cell>
          <cell r="H117">
            <v>0</v>
          </cell>
          <cell r="I117">
            <v>645.99804443053813</v>
          </cell>
          <cell r="J117">
            <v>1026</v>
          </cell>
          <cell r="K117">
            <v>1323</v>
          </cell>
        </row>
        <row r="118">
          <cell r="D118" t="str">
            <v>2005novembroCAPITAL</v>
          </cell>
          <cell r="E118">
            <v>0</v>
          </cell>
          <cell r="F118">
            <v>0</v>
          </cell>
          <cell r="G118">
            <v>0</v>
          </cell>
          <cell r="H118">
            <v>0</v>
          </cell>
        </row>
        <row r="119">
          <cell r="D119" t="str">
            <v>2005novembroOESTE</v>
          </cell>
          <cell r="E119">
            <v>0</v>
          </cell>
          <cell r="F119">
            <v>0</v>
          </cell>
          <cell r="G119">
            <v>0</v>
          </cell>
          <cell r="H119">
            <v>0</v>
          </cell>
        </row>
        <row r="120">
          <cell r="D120" t="str">
            <v>2005novembroABC</v>
          </cell>
          <cell r="E120">
            <v>0</v>
          </cell>
          <cell r="F120">
            <v>0</v>
          </cell>
          <cell r="G120">
            <v>0</v>
          </cell>
          <cell r="H120">
            <v>0</v>
          </cell>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v>0</v>
          </cell>
          <cell r="F122">
            <v>0</v>
          </cell>
          <cell r="G122">
            <v>0</v>
          </cell>
          <cell r="H122">
            <v>0</v>
          </cell>
          <cell r="I122">
            <v>658</v>
          </cell>
          <cell r="J122">
            <v>6980</v>
          </cell>
          <cell r="K122">
            <v>1236</v>
          </cell>
        </row>
        <row r="123">
          <cell r="D123" t="str">
            <v>2005dezembroUnidade Oeste</v>
          </cell>
          <cell r="E123">
            <v>0</v>
          </cell>
          <cell r="F123">
            <v>0</v>
          </cell>
          <cell r="G123">
            <v>0</v>
          </cell>
          <cell r="H123">
            <v>0</v>
          </cell>
          <cell r="I123">
            <v>751.20545774647883</v>
          </cell>
          <cell r="J123">
            <v>850</v>
          </cell>
          <cell r="K123">
            <v>1300</v>
          </cell>
        </row>
        <row r="124">
          <cell r="D124" t="str">
            <v>2005dezembroUnidade São Paulo Sul</v>
          </cell>
          <cell r="E124">
            <v>0</v>
          </cell>
          <cell r="F124">
            <v>0</v>
          </cell>
          <cell r="G124">
            <v>0</v>
          </cell>
          <cell r="H124">
            <v>0</v>
          </cell>
          <cell r="I124">
            <v>612.83947501261991</v>
          </cell>
          <cell r="J124">
            <v>1300</v>
          </cell>
          <cell r="K124">
            <v>1165</v>
          </cell>
        </row>
        <row r="125">
          <cell r="D125" t="str">
            <v>2005dezembroUnidade Anhembi</v>
          </cell>
          <cell r="E125">
            <v>0</v>
          </cell>
          <cell r="F125">
            <v>0</v>
          </cell>
          <cell r="G125">
            <v>0</v>
          </cell>
          <cell r="H125">
            <v>0</v>
          </cell>
          <cell r="I125">
            <v>599.89541578602143</v>
          </cell>
          <cell r="J125">
            <v>850</v>
          </cell>
          <cell r="K125">
            <v>1356</v>
          </cell>
        </row>
        <row r="126">
          <cell r="D126" t="str">
            <v>2005dezembroUnidade Centro</v>
          </cell>
          <cell r="E126">
            <v>0</v>
          </cell>
          <cell r="F126">
            <v>0</v>
          </cell>
          <cell r="G126">
            <v>0</v>
          </cell>
          <cell r="H126">
            <v>0</v>
          </cell>
          <cell r="I126">
            <v>1146</v>
          </cell>
          <cell r="J126">
            <v>850</v>
          </cell>
          <cell r="K126">
            <v>1619</v>
          </cell>
        </row>
        <row r="127">
          <cell r="D127" t="str">
            <v>2005dezembroUnidade Leste</v>
          </cell>
          <cell r="E127">
            <v>0</v>
          </cell>
          <cell r="F127">
            <v>0</v>
          </cell>
          <cell r="G127">
            <v>0</v>
          </cell>
          <cell r="H127">
            <v>0</v>
          </cell>
          <cell r="I127">
            <v>583.15491054980146</v>
          </cell>
          <cell r="J127">
            <v>1900</v>
          </cell>
          <cell r="K127">
            <v>1260</v>
          </cell>
        </row>
        <row r="128">
          <cell r="D128" t="str">
            <v>2005dezembroUnidade Grande ABC</v>
          </cell>
          <cell r="E128">
            <v>0</v>
          </cell>
          <cell r="F128">
            <v>0</v>
          </cell>
          <cell r="G128">
            <v>0</v>
          </cell>
          <cell r="H128">
            <v>0</v>
          </cell>
          <cell r="I128">
            <v>659.9827308649202</v>
          </cell>
          <cell r="J128">
            <v>986</v>
          </cell>
          <cell r="K128">
            <v>1389</v>
          </cell>
        </row>
        <row r="129">
          <cell r="D129" t="str">
            <v>2005dezembroCAPITAL</v>
          </cell>
          <cell r="E129">
            <v>0</v>
          </cell>
          <cell r="F129">
            <v>0</v>
          </cell>
          <cell r="G129">
            <v>0</v>
          </cell>
          <cell r="H129">
            <v>0</v>
          </cell>
        </row>
        <row r="130">
          <cell r="D130" t="str">
            <v>2005dezembroOESTE</v>
          </cell>
          <cell r="E130">
            <v>0</v>
          </cell>
          <cell r="F130">
            <v>0</v>
          </cell>
          <cell r="G130">
            <v>0</v>
          </cell>
          <cell r="H130">
            <v>0</v>
          </cell>
        </row>
        <row r="131">
          <cell r="D131" t="str">
            <v>2005dezembroABC</v>
          </cell>
          <cell r="E131">
            <v>0</v>
          </cell>
          <cell r="F131">
            <v>0</v>
          </cell>
          <cell r="G131">
            <v>0</v>
          </cell>
          <cell r="H131">
            <v>0</v>
          </cell>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v>0</v>
          </cell>
          <cell r="F133">
            <v>0</v>
          </cell>
          <cell r="G133">
            <v>0</v>
          </cell>
          <cell r="H133">
            <v>0</v>
          </cell>
          <cell r="I133">
            <v>680</v>
          </cell>
          <cell r="J133">
            <v>6737</v>
          </cell>
          <cell r="K133">
            <v>1257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Vinculo Blanco"/>
      <sheetName val="#¡REF"/>
      <sheetName val="Resumen Efectivo"/>
      <sheetName val="Indicadores"/>
      <sheetName val="BASES GENERALES"/>
      <sheetName val="SDIISA98"/>
      <sheetName val="PISASD95"/>
      <sheetName val="BALANCE"/>
      <sheetName val="ESRES"/>
      <sheetName val="HESREGRF"/>
      <sheetName val="SOLUCION  DOLAR "/>
      <sheetName val="inversion"/>
      <sheetName val="flujo millones"/>
      <sheetName val="ESTIMADO AÑO2000"/>
      <sheetName val="FYU$"/>
      <sheetName val="compar año  1999"/>
      <sheetName val="escenarios"/>
      <sheetName val="bases escenarios"/>
      <sheetName val="PYG$"/>
      <sheetName val="Vinculo_Blanco2"/>
      <sheetName val="Resumen_Efectivo2"/>
      <sheetName val="BASES_GENERALES2"/>
      <sheetName val="SOLUCION__DOLAR_"/>
      <sheetName val="flujo_millones"/>
      <sheetName val="ESTIMADO_AÑO2000"/>
      <sheetName val="compar_año__1999"/>
      <sheetName val="bases_escenarios"/>
      <sheetName val="Vinculo_Blanco"/>
      <sheetName val="Resumen_Efectivo"/>
      <sheetName val="BASES_GENERALES"/>
      <sheetName val="Vinculo_Blanco1"/>
      <sheetName val="Resumen_Efectivo1"/>
      <sheetName val="BASES_GENERALES1"/>
      <sheetName val="Vinculo_Blanco3"/>
      <sheetName val="Resumen_Efectivo3"/>
      <sheetName val="BASES_GENERALES3"/>
      <sheetName val="Vinculo_Blanco4"/>
      <sheetName val="Resumen_Efectivo4"/>
      <sheetName val="BASES_GENERALES4"/>
      <sheetName val="SOLUCION__DOLAR_1"/>
      <sheetName val="flujo_millones1"/>
      <sheetName val="ESTIMADO_AÑO20001"/>
      <sheetName val="compar_año__19991"/>
      <sheetName val="bases_escenarios1"/>
      <sheetName val="Vinculo_Blanco5"/>
      <sheetName val="Resumen_Efectivo5"/>
      <sheetName val="BASES_GENERALES5"/>
      <sheetName val="SOLUCION__DOLAR_2"/>
      <sheetName val="flujo_millones2"/>
      <sheetName val="ESTIMADO_AÑO20002"/>
      <sheetName val="compar_año__19992"/>
      <sheetName val="bases_escenarios2"/>
      <sheetName val="Colombia 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s>
    <sheetDataSet>
      <sheetData sheetId="0" refreshError="1"/>
      <sheetData sheetId="1" refreshError="1">
        <row r="2">
          <cell r="A2" t="str">
            <v>Millones de pesos</v>
          </cell>
          <cell r="B2">
            <v>2001</v>
          </cell>
          <cell r="C2">
            <v>2002</v>
          </cell>
          <cell r="D2">
            <v>2003</v>
          </cell>
          <cell r="E2">
            <v>2004</v>
          </cell>
          <cell r="F2">
            <v>2005</v>
          </cell>
          <cell r="G2">
            <v>2006</v>
          </cell>
        </row>
        <row r="3">
          <cell r="A3" t="str">
            <v>Transporte de Energía</v>
          </cell>
          <cell r="B3">
            <v>45904.486748600699</v>
          </cell>
          <cell r="C3">
            <v>93439.386067165251</v>
          </cell>
          <cell r="D3">
            <v>11881.183126603832</v>
          </cell>
          <cell r="E3">
            <v>0</v>
          </cell>
        </row>
        <row r="4">
          <cell r="A4" t="str">
            <v>TRANSELCA  -  65%  -</v>
          </cell>
          <cell r="C4">
            <v>93439.386067165251</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C5">
            <v>23254.000000000007</v>
          </cell>
          <cell r="D5">
            <v>11881.183126603832</v>
          </cell>
          <cell r="E5">
            <v>30325.11146311343</v>
          </cell>
        </row>
        <row r="6">
          <cell r="A6" t="str">
            <v>Control</v>
          </cell>
          <cell r="B6">
            <v>0</v>
          </cell>
          <cell r="C6">
            <v>0</v>
          </cell>
          <cell r="D6">
            <v>0</v>
          </cell>
          <cell r="E6">
            <v>-8573.4997398449523</v>
          </cell>
        </row>
        <row r="7">
          <cell r="A7" t="str">
            <v xml:space="preserve">Dividendos </v>
          </cell>
          <cell r="B7">
            <v>17238.37375155</v>
          </cell>
          <cell r="C7">
            <v>13070.966504399998</v>
          </cell>
          <cell r="D7">
            <v>12364.04293353693</v>
          </cell>
          <cell r="E7">
            <v>13621.801101635954</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refreshError="1"/>
      <sheetData sheetId="17" refreshError="1"/>
      <sheetData sheetId="18" refreshError="1">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OM CON FAER mes"/>
      <sheetName val="AOM SIN FAER Mes"/>
      <sheetName val="AOM CON FAER Acum"/>
      <sheetName val="AOM Sin FAER Acum"/>
    </sheetNames>
    <sheetDataSet>
      <sheetData sheetId="0"/>
      <sheetData sheetId="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Bases Grales."/>
      <sheetName val="Tablero_informacion"/>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s>
    <sheetDataSet>
      <sheetData sheetId="0" refreshError="1"/>
      <sheetData sheetId="1" refreshError="1"/>
      <sheetData sheetId="2" refreshError="1"/>
      <sheetData sheetId="3" refreshError="1">
        <row r="129">
          <cell r="D12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7">
          <cell r="C17">
            <v>7.6499999999999999E-2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row r="1">
          <cell r="D1" t="str">
            <v>Ano/Mês/Loja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s. AGRUPADAS"/>
      <sheetName val="NGs. BANCO DADOS"/>
      <sheetName val="NGs"/>
    </sheetNames>
    <sheetDataSet>
      <sheetData sheetId="0"/>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s>
    <sheetDataSet>
      <sheetData sheetId="0"/>
      <sheetData sheetId="1"/>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O"/>
      <sheetName val="ITCO (Ajustado)"/>
      <sheetName val="ESF (Q1)"/>
      <sheetName val="6b-ER-pres"/>
      <sheetName val="Hoja2"/>
    </sheetNames>
    <sheetDataSet>
      <sheetData sheetId="0" refreshError="1"/>
      <sheetData sheetId="1">
        <row r="6">
          <cell r="E6">
            <v>417229.59040999995</v>
          </cell>
        </row>
        <row r="7">
          <cell r="E7">
            <v>45397.801374000002</v>
          </cell>
        </row>
        <row r="8">
          <cell r="E8">
            <v>7285.630180000001</v>
          </cell>
        </row>
        <row r="9">
          <cell r="E9">
            <v>1839.359954</v>
          </cell>
        </row>
        <row r="10">
          <cell r="E10">
            <v>9105.1047120000003</v>
          </cell>
        </row>
        <row r="11">
          <cell r="E11">
            <v>460159.74594800005</v>
          </cell>
        </row>
        <row r="12">
          <cell r="E12">
            <v>1167.2249219999999</v>
          </cell>
        </row>
        <row r="13">
          <cell r="E13">
            <v>19530.515759999889</v>
          </cell>
        </row>
        <row r="15">
          <cell r="E15">
            <v>0</v>
          </cell>
        </row>
        <row r="16">
          <cell r="E16">
            <v>120.30625999999995</v>
          </cell>
        </row>
        <row r="17">
          <cell r="E17">
            <v>19650.822019999887</v>
          </cell>
        </row>
        <row r="18">
          <cell r="E18">
            <v>0</v>
          </cell>
        </row>
        <row r="19">
          <cell r="E19">
            <v>-848.90028499999983</v>
          </cell>
        </row>
        <row r="20">
          <cell r="E20">
            <v>18801.921734999891</v>
          </cell>
        </row>
        <row r="22">
          <cell r="E22">
            <v>6943.181462999999</v>
          </cell>
        </row>
        <row r="23">
          <cell r="E23">
            <v>11858.740271999892</v>
          </cell>
        </row>
        <row r="25">
          <cell r="E25">
            <v>37711</v>
          </cell>
        </row>
        <row r="34">
          <cell r="E34">
            <v>26955</v>
          </cell>
        </row>
        <row r="35">
          <cell r="E35">
            <v>189714</v>
          </cell>
        </row>
        <row r="36">
          <cell r="E36">
            <v>5685</v>
          </cell>
        </row>
        <row r="37">
          <cell r="E37">
            <v>4799</v>
          </cell>
        </row>
        <row r="38">
          <cell r="E38">
            <v>15362</v>
          </cell>
        </row>
        <row r="40">
          <cell r="E40">
            <v>242515</v>
          </cell>
        </row>
        <row r="42">
          <cell r="E42">
            <v>0</v>
          </cell>
        </row>
        <row r="43">
          <cell r="E43">
            <v>19917</v>
          </cell>
        </row>
        <row r="44">
          <cell r="E44">
            <v>53048</v>
          </cell>
        </row>
        <row r="45">
          <cell r="E45">
            <v>0</v>
          </cell>
        </row>
        <row r="46">
          <cell r="E46">
            <v>1488</v>
          </cell>
        </row>
        <row r="47">
          <cell r="E47">
            <v>0</v>
          </cell>
        </row>
        <row r="48">
          <cell r="E48">
            <v>0</v>
          </cell>
        </row>
        <row r="49">
          <cell r="E49">
            <v>0</v>
          </cell>
        </row>
        <row r="50">
          <cell r="E50">
            <v>0</v>
          </cell>
        </row>
        <row r="51">
          <cell r="E51">
            <v>0</v>
          </cell>
        </row>
        <row r="52">
          <cell r="E52">
            <v>808</v>
          </cell>
        </row>
        <row r="55">
          <cell r="E55">
            <v>75261</v>
          </cell>
        </row>
        <row r="56">
          <cell r="E56">
            <v>317776</v>
          </cell>
        </row>
        <row r="60">
          <cell r="E60">
            <v>91468</v>
          </cell>
        </row>
        <row r="61">
          <cell r="E61">
            <v>0</v>
          </cell>
        </row>
        <row r="62">
          <cell r="E62">
            <v>15635</v>
          </cell>
        </row>
        <row r="63">
          <cell r="E63">
            <v>25481</v>
          </cell>
        </row>
        <row r="64">
          <cell r="E64">
            <v>0</v>
          </cell>
        </row>
        <row r="65">
          <cell r="E65">
            <v>8225</v>
          </cell>
        </row>
        <row r="66">
          <cell r="E66">
            <v>0</v>
          </cell>
        </row>
        <row r="67">
          <cell r="E67">
            <v>0</v>
          </cell>
        </row>
        <row r="68">
          <cell r="E68">
            <v>140809</v>
          </cell>
        </row>
        <row r="70">
          <cell r="E70">
            <v>11616</v>
          </cell>
        </row>
        <row r="71">
          <cell r="E71">
            <v>0</v>
          </cell>
        </row>
        <row r="72">
          <cell r="E72">
            <v>83087</v>
          </cell>
        </row>
        <row r="73">
          <cell r="E73">
            <v>0</v>
          </cell>
        </row>
        <row r="74">
          <cell r="E74">
            <v>0</v>
          </cell>
        </row>
        <row r="75">
          <cell r="E75">
            <v>377</v>
          </cell>
        </row>
        <row r="76">
          <cell r="E76">
            <v>0</v>
          </cell>
        </row>
        <row r="77">
          <cell r="E77">
            <v>0</v>
          </cell>
        </row>
        <row r="78">
          <cell r="E78">
            <v>95080</v>
          </cell>
        </row>
        <row r="79">
          <cell r="E79">
            <v>235889</v>
          </cell>
        </row>
        <row r="82">
          <cell r="E82">
            <v>73050</v>
          </cell>
        </row>
        <row r="83">
          <cell r="E83">
            <v>0</v>
          </cell>
        </row>
        <row r="84">
          <cell r="E84">
            <v>22460</v>
          </cell>
        </row>
        <row r="85">
          <cell r="E85">
            <v>-44474</v>
          </cell>
        </row>
        <row r="86">
          <cell r="E86">
            <v>23137</v>
          </cell>
        </row>
        <row r="87">
          <cell r="E87">
            <v>7714</v>
          </cell>
        </row>
        <row r="88">
          <cell r="E88">
            <v>81887</v>
          </cell>
        </row>
        <row r="89">
          <cell r="E89">
            <v>317776</v>
          </cell>
        </row>
      </sheetData>
      <sheetData sheetId="2" refreshError="1"/>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FF_TE_Bra"/>
    </sheetNames>
    <sheetDataSet>
      <sheetData sheetId="0">
        <row r="8">
          <cell r="V8">
            <v>1895817.2849399999</v>
          </cell>
        </row>
        <row r="9">
          <cell r="V9">
            <v>523797</v>
          </cell>
        </row>
        <row r="10">
          <cell r="V10">
            <v>343379</v>
          </cell>
        </row>
        <row r="11">
          <cell r="V11">
            <v>13030</v>
          </cell>
        </row>
        <row r="12">
          <cell r="V12">
            <v>1010608</v>
          </cell>
        </row>
        <row r="13">
          <cell r="V13">
            <v>5003.2849400000014</v>
          </cell>
        </row>
        <row r="14">
          <cell r="V14">
            <v>-229784</v>
          </cell>
        </row>
        <row r="15">
          <cell r="V15">
            <v>1666033.2849399999</v>
          </cell>
        </row>
        <row r="16">
          <cell r="V16">
            <v>-636025.78725000005</v>
          </cell>
        </row>
        <row r="17">
          <cell r="V17">
            <v>-105747.6075</v>
          </cell>
        </row>
        <row r="18">
          <cell r="V18">
            <v>-291728.32964999997</v>
          </cell>
        </row>
        <row r="19">
          <cell r="V19">
            <v>-171009.84599</v>
          </cell>
        </row>
        <row r="20">
          <cell r="V20">
            <v>-6573</v>
          </cell>
        </row>
        <row r="21">
          <cell r="V21">
            <v>-60967.004110000096</v>
          </cell>
        </row>
        <row r="22">
          <cell r="V22">
            <v>0</v>
          </cell>
        </row>
        <row r="23">
          <cell r="V23">
            <v>1030007.4976899999</v>
          </cell>
        </row>
        <row r="24">
          <cell r="V24">
            <v>-301284.34393999999</v>
          </cell>
        </row>
        <row r="25">
          <cell r="V25">
            <v>35115.753249999994</v>
          </cell>
        </row>
        <row r="26">
          <cell r="V26">
            <v>-168431</v>
          </cell>
        </row>
        <row r="27">
          <cell r="V27">
            <v>-159</v>
          </cell>
        </row>
        <row r="28">
          <cell r="V28">
            <v>-169482</v>
          </cell>
        </row>
        <row r="29">
          <cell r="V29">
            <v>1671.9028099999978</v>
          </cell>
        </row>
        <row r="30">
          <cell r="V30">
            <v>728723.15374999982</v>
          </cell>
        </row>
        <row r="31">
          <cell r="V31">
            <v>181871.73069999999</v>
          </cell>
        </row>
        <row r="32">
          <cell r="V32">
            <v>4115</v>
          </cell>
        </row>
        <row r="33">
          <cell r="V33">
            <v>914709.88444999978</v>
          </cell>
        </row>
        <row r="34">
          <cell r="V34">
            <v>-201533.62086</v>
          </cell>
        </row>
        <row r="35">
          <cell r="V35">
            <v>-24828.811410000002</v>
          </cell>
        </row>
        <row r="36">
          <cell r="V36">
            <v>-176704.80945</v>
          </cell>
        </row>
        <row r="37">
          <cell r="V37">
            <v>1224575.2283899998</v>
          </cell>
        </row>
        <row r="38">
          <cell r="V38">
            <v>713176.26358999975</v>
          </cell>
        </row>
        <row r="39">
          <cell r="V39">
            <v>-13471</v>
          </cell>
        </row>
        <row r="40">
          <cell r="V40">
            <v>699705.26358999975</v>
          </cell>
        </row>
        <row r="50">
          <cell r="V50">
            <v>221490</v>
          </cell>
        </row>
        <row r="51">
          <cell r="V51">
            <v>860842</v>
          </cell>
        </row>
        <row r="52">
          <cell r="V52">
            <v>2714897</v>
          </cell>
        </row>
        <row r="53">
          <cell r="V53">
            <v>67483</v>
          </cell>
        </row>
        <row r="54">
          <cell r="V54">
            <v>126437</v>
          </cell>
        </row>
        <row r="55">
          <cell r="V55">
            <v>0</v>
          </cell>
        </row>
        <row r="56">
          <cell r="V56">
            <v>78752</v>
          </cell>
        </row>
        <row r="57">
          <cell r="V57">
            <v>38208</v>
          </cell>
        </row>
        <row r="58">
          <cell r="V58">
            <v>4977</v>
          </cell>
        </row>
        <row r="59">
          <cell r="V59">
            <v>28</v>
          </cell>
        </row>
        <row r="60">
          <cell r="V60">
            <v>106975</v>
          </cell>
        </row>
        <row r="61">
          <cell r="V61">
            <v>4220089</v>
          </cell>
        </row>
        <row r="63">
          <cell r="V63">
            <v>0</v>
          </cell>
        </row>
        <row r="64">
          <cell r="V64">
            <v>38263</v>
          </cell>
        </row>
        <row r="65">
          <cell r="V65">
            <v>20486333</v>
          </cell>
        </row>
        <row r="66">
          <cell r="V66">
            <v>2065840</v>
          </cell>
        </row>
        <row r="67">
          <cell r="V67">
            <v>0</v>
          </cell>
        </row>
        <row r="69">
          <cell r="V69">
            <v>43797</v>
          </cell>
        </row>
        <row r="70">
          <cell r="V70">
            <v>16223</v>
          </cell>
        </row>
        <row r="71">
          <cell r="V71">
            <v>0</v>
          </cell>
        </row>
        <row r="72">
          <cell r="V72">
            <v>2008</v>
          </cell>
        </row>
        <row r="73">
          <cell r="V73">
            <v>61751</v>
          </cell>
        </row>
        <row r="74">
          <cell r="V74">
            <v>3686260</v>
          </cell>
        </row>
        <row r="75">
          <cell r="V75">
            <v>89864</v>
          </cell>
        </row>
        <row r="76">
          <cell r="V76">
            <v>482673</v>
          </cell>
        </row>
        <row r="77">
          <cell r="V77">
            <v>26973012</v>
          </cell>
        </row>
        <row r="78">
          <cell r="V78">
            <v>31193101</v>
          </cell>
        </row>
        <row r="84">
          <cell r="V84">
            <v>90627</v>
          </cell>
        </row>
        <row r="85">
          <cell r="V85">
            <v>79687</v>
          </cell>
        </row>
        <row r="86">
          <cell r="V86">
            <v>12875</v>
          </cell>
        </row>
        <row r="87">
          <cell r="V87">
            <v>4263</v>
          </cell>
        </row>
        <row r="88">
          <cell r="V88">
            <v>86641</v>
          </cell>
        </row>
        <row r="89">
          <cell r="V89">
            <v>108631</v>
          </cell>
        </row>
        <row r="90">
          <cell r="V90">
            <v>0</v>
          </cell>
        </row>
        <row r="91">
          <cell r="V91">
            <v>77913</v>
          </cell>
        </row>
        <row r="92">
          <cell r="V92">
            <v>0</v>
          </cell>
        </row>
        <row r="93">
          <cell r="V93">
            <v>16217</v>
          </cell>
        </row>
        <row r="94">
          <cell r="V94">
            <v>47483</v>
          </cell>
        </row>
        <row r="95">
          <cell r="V95">
            <v>947</v>
          </cell>
        </row>
        <row r="96">
          <cell r="V96">
            <v>2480</v>
          </cell>
        </row>
        <row r="97">
          <cell r="V97">
            <v>35593</v>
          </cell>
        </row>
        <row r="98">
          <cell r="V98">
            <v>563357</v>
          </cell>
        </row>
        <row r="100">
          <cell r="V100">
            <v>1985056</v>
          </cell>
        </row>
        <row r="101">
          <cell r="V101">
            <v>5783645</v>
          </cell>
        </row>
        <row r="102">
          <cell r="V102">
            <v>39980</v>
          </cell>
        </row>
        <row r="103">
          <cell r="V103">
            <v>0</v>
          </cell>
        </row>
        <row r="104">
          <cell r="V104">
            <v>6308</v>
          </cell>
        </row>
        <row r="105">
          <cell r="V105">
            <v>123481</v>
          </cell>
        </row>
        <row r="106">
          <cell r="V106">
            <v>497352</v>
          </cell>
        </row>
        <row r="107">
          <cell r="V107">
            <v>0</v>
          </cell>
        </row>
        <row r="108">
          <cell r="V108">
            <v>1812416</v>
          </cell>
        </row>
        <row r="109">
          <cell r="V109">
            <v>4295897</v>
          </cell>
        </row>
        <row r="110">
          <cell r="V110">
            <v>20532</v>
          </cell>
        </row>
        <row r="111">
          <cell r="V111">
            <v>0</v>
          </cell>
        </row>
        <row r="112">
          <cell r="V112">
            <v>0</v>
          </cell>
        </row>
        <row r="113">
          <cell r="V113">
            <v>29540</v>
          </cell>
        </row>
        <row r="114">
          <cell r="V114">
            <v>14594207</v>
          </cell>
        </row>
        <row r="119">
          <cell r="V119">
            <v>3590020</v>
          </cell>
        </row>
        <row r="120">
          <cell r="V120">
            <v>666</v>
          </cell>
        </row>
        <row r="121">
          <cell r="V121">
            <v>12288676</v>
          </cell>
        </row>
        <row r="122">
          <cell r="V122">
            <v>-277910</v>
          </cell>
        </row>
        <row r="123">
          <cell r="V123">
            <v>0</v>
          </cell>
        </row>
        <row r="124">
          <cell r="V124">
            <v>0</v>
          </cell>
        </row>
        <row r="125">
          <cell r="V125">
            <v>0</v>
          </cell>
        </row>
        <row r="126">
          <cell r="V126">
            <v>15601452</v>
          </cell>
        </row>
        <row r="127">
          <cell r="V127">
            <v>434085</v>
          </cell>
        </row>
        <row r="128">
          <cell r="V128">
            <v>31193101</v>
          </cell>
        </row>
        <row r="136">
          <cell r="V136">
            <v>894435</v>
          </cell>
        </row>
        <row r="137">
          <cell r="V137">
            <v>886683</v>
          </cell>
        </row>
        <row r="138">
          <cell r="V138">
            <v>7752</v>
          </cell>
        </row>
        <row r="139">
          <cell r="V139">
            <v>-165237</v>
          </cell>
        </row>
        <row r="140">
          <cell r="V140">
            <v>729198</v>
          </cell>
        </row>
        <row r="141">
          <cell r="V141">
            <v>-309209</v>
          </cell>
        </row>
        <row r="142">
          <cell r="V142">
            <v>-96848</v>
          </cell>
        </row>
        <row r="143">
          <cell r="V143">
            <v>-5419</v>
          </cell>
        </row>
        <row r="144">
          <cell r="V144">
            <v>-39454</v>
          </cell>
        </row>
        <row r="145">
          <cell r="V145">
            <v>-147044</v>
          </cell>
        </row>
        <row r="146">
          <cell r="V146">
            <v>-20444</v>
          </cell>
        </row>
        <row r="147">
          <cell r="V147">
            <v>419989</v>
          </cell>
        </row>
        <row r="148">
          <cell r="V148">
            <v>-301033</v>
          </cell>
        </row>
        <row r="149">
          <cell r="V149">
            <v>35116</v>
          </cell>
        </row>
        <row r="150">
          <cell r="V150">
            <v>-167148</v>
          </cell>
        </row>
        <row r="151">
          <cell r="V151">
            <v>-159</v>
          </cell>
        </row>
        <row r="152">
          <cell r="V152">
            <v>-169088</v>
          </cell>
        </row>
        <row r="153">
          <cell r="V153">
            <v>246</v>
          </cell>
        </row>
        <row r="154">
          <cell r="V154">
            <v>118956</v>
          </cell>
        </row>
        <row r="155">
          <cell r="V155">
            <v>4148</v>
          </cell>
        </row>
        <row r="156">
          <cell r="V156">
            <v>-15737</v>
          </cell>
        </row>
        <row r="157">
          <cell r="V157">
            <v>107367</v>
          </cell>
        </row>
        <row r="158">
          <cell r="V158">
            <v>-23507</v>
          </cell>
        </row>
        <row r="159">
          <cell r="V159">
            <v>-24828</v>
          </cell>
        </row>
        <row r="160">
          <cell r="V160">
            <v>1321</v>
          </cell>
        </row>
        <row r="161">
          <cell r="V161">
            <v>83860</v>
          </cell>
        </row>
        <row r="162">
          <cell r="V162">
            <v>-13471</v>
          </cell>
        </row>
        <row r="163">
          <cell r="V163">
            <v>70389</v>
          </cell>
        </row>
        <row r="172">
          <cell r="V172">
            <v>220960</v>
          </cell>
        </row>
        <row r="173">
          <cell r="V173">
            <v>861372</v>
          </cell>
        </row>
        <row r="174">
          <cell r="V174">
            <v>396609</v>
          </cell>
        </row>
        <row r="175">
          <cell r="V175">
            <v>20401</v>
          </cell>
        </row>
        <row r="176">
          <cell r="V176">
            <v>49466</v>
          </cell>
        </row>
        <row r="177">
          <cell r="V177">
            <v>126437</v>
          </cell>
        </row>
        <row r="178">
          <cell r="V178">
            <v>0</v>
          </cell>
        </row>
        <row r="179">
          <cell r="V179">
            <v>0</v>
          </cell>
        </row>
        <row r="180">
          <cell r="V180">
            <v>80325</v>
          </cell>
        </row>
        <row r="181">
          <cell r="V181">
            <v>38208</v>
          </cell>
        </row>
        <row r="182">
          <cell r="V182">
            <v>4977</v>
          </cell>
        </row>
        <row r="183">
          <cell r="V183">
            <v>72671</v>
          </cell>
        </row>
        <row r="184">
          <cell r="V184">
            <v>1871426</v>
          </cell>
        </row>
        <row r="187">
          <cell r="V187">
            <v>38263</v>
          </cell>
        </row>
        <row r="188">
          <cell r="V188">
            <v>1187261</v>
          </cell>
        </row>
        <row r="189">
          <cell r="V189">
            <v>2065840</v>
          </cell>
        </row>
        <row r="190">
          <cell r="V190">
            <v>49</v>
          </cell>
        </row>
        <row r="191">
          <cell r="V191">
            <v>0</v>
          </cell>
        </row>
        <row r="192">
          <cell r="V192">
            <v>43797</v>
          </cell>
        </row>
        <row r="193">
          <cell r="V193">
            <v>0</v>
          </cell>
        </row>
        <row r="194">
          <cell r="V194">
            <v>2008</v>
          </cell>
        </row>
        <row r="195">
          <cell r="V195">
            <v>0</v>
          </cell>
        </row>
        <row r="196">
          <cell r="V196">
            <v>61751</v>
          </cell>
        </row>
        <row r="197">
          <cell r="V197">
            <v>3398969</v>
          </cell>
        </row>
        <row r="198">
          <cell r="V198">
            <v>1558923</v>
          </cell>
        </row>
        <row r="199">
          <cell r="V199">
            <v>8895514</v>
          </cell>
        </row>
        <row r="200">
          <cell r="V200">
            <v>1680877</v>
          </cell>
        </row>
        <row r="201">
          <cell r="V201">
            <v>15534283</v>
          </cell>
        </row>
        <row r="202">
          <cell r="V202">
            <v>17405709</v>
          </cell>
        </row>
        <row r="205">
          <cell r="V205" t="str">
            <v>2Q22</v>
          </cell>
        </row>
        <row r="207">
          <cell r="V207">
            <v>90627</v>
          </cell>
        </row>
        <row r="208">
          <cell r="V208">
            <v>79687</v>
          </cell>
        </row>
        <row r="209">
          <cell r="V209">
            <v>12875</v>
          </cell>
        </row>
        <row r="210">
          <cell r="V210">
            <v>4263</v>
          </cell>
        </row>
        <row r="211">
          <cell r="V211">
            <v>88701</v>
          </cell>
        </row>
        <row r="212">
          <cell r="V212">
            <v>108596</v>
          </cell>
        </row>
        <row r="213">
          <cell r="V213">
            <v>0</v>
          </cell>
        </row>
        <row r="214">
          <cell r="V214">
            <v>0</v>
          </cell>
        </row>
        <row r="215">
          <cell r="V215">
            <v>80393</v>
          </cell>
        </row>
        <row r="216">
          <cell r="V216">
            <v>16217</v>
          </cell>
        </row>
        <row r="217">
          <cell r="V217">
            <v>47483</v>
          </cell>
        </row>
        <row r="218">
          <cell r="V218">
            <v>947</v>
          </cell>
        </row>
        <row r="219">
          <cell r="V219">
            <v>0</v>
          </cell>
        </row>
        <row r="220">
          <cell r="V220">
            <v>0</v>
          </cell>
        </row>
        <row r="221">
          <cell r="V221">
            <v>35605</v>
          </cell>
        </row>
        <row r="222">
          <cell r="V222">
            <v>565394</v>
          </cell>
        </row>
        <row r="225">
          <cell r="V225">
            <v>1985056</v>
          </cell>
        </row>
        <row r="226">
          <cell r="V226">
            <v>5783645</v>
          </cell>
        </row>
        <row r="227">
          <cell r="V227">
            <v>39980</v>
          </cell>
        </row>
        <row r="228">
          <cell r="V228">
            <v>0</v>
          </cell>
        </row>
        <row r="229">
          <cell r="V229">
            <v>6308</v>
          </cell>
        </row>
        <row r="230">
          <cell r="V230">
            <v>496959</v>
          </cell>
        </row>
        <row r="231">
          <cell r="V231">
            <v>0</v>
          </cell>
        </row>
        <row r="232">
          <cell r="V232">
            <v>50960</v>
          </cell>
        </row>
        <row r="233">
          <cell r="V233">
            <v>913961</v>
          </cell>
        </row>
        <row r="234">
          <cell r="V234">
            <v>20532</v>
          </cell>
        </row>
        <row r="235">
          <cell r="V235">
            <v>117193</v>
          </cell>
        </row>
        <row r="236">
          <cell r="V236">
            <v>0</v>
          </cell>
        </row>
        <row r="237">
          <cell r="V237">
            <v>469324</v>
          </cell>
        </row>
        <row r="238">
          <cell r="V238">
            <v>0</v>
          </cell>
        </row>
        <row r="239">
          <cell r="V239">
            <v>4555</v>
          </cell>
        </row>
        <row r="240">
          <cell r="V240">
            <v>9888473</v>
          </cell>
        </row>
        <row r="242">
          <cell r="V242">
            <v>434085</v>
          </cell>
        </row>
        <row r="245">
          <cell r="V245">
            <v>3590020</v>
          </cell>
        </row>
        <row r="246">
          <cell r="V246">
            <v>666</v>
          </cell>
        </row>
        <row r="247">
          <cell r="V247">
            <v>1284848</v>
          </cell>
        </row>
        <row r="248">
          <cell r="V248">
            <v>1920133</v>
          </cell>
        </row>
        <row r="249">
          <cell r="V249">
            <v>0</v>
          </cell>
        </row>
        <row r="250">
          <cell r="V250">
            <v>-277910</v>
          </cell>
        </row>
        <row r="251">
          <cell r="V251">
            <v>0</v>
          </cell>
        </row>
        <row r="252">
          <cell r="V252">
            <v>0</v>
          </cell>
        </row>
        <row r="253">
          <cell r="V253">
            <v>0</v>
          </cell>
        </row>
        <row r="254">
          <cell r="V254">
            <v>6517757</v>
          </cell>
        </row>
        <row r="255">
          <cell r="V255">
            <v>17405709</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FF_TE_Per"/>
    </sheetNames>
    <sheetDataSet>
      <sheetData sheetId="0">
        <row r="9">
          <cell r="X9">
            <v>28203.26626</v>
          </cell>
        </row>
        <row r="10">
          <cell r="X10">
            <v>28203.26626</v>
          </cell>
        </row>
        <row r="13">
          <cell r="X13">
            <v>50917.919249999999</v>
          </cell>
        </row>
        <row r="14">
          <cell r="X14">
            <v>1162.2015100000001</v>
          </cell>
        </row>
        <row r="15">
          <cell r="X15">
            <v>18.950849999999996</v>
          </cell>
        </row>
        <row r="16">
          <cell r="X16">
            <v>5588.7957999999999</v>
          </cell>
        </row>
        <row r="17">
          <cell r="X17">
            <v>13394.38279</v>
          </cell>
        </row>
        <row r="18">
          <cell r="X18">
            <v>33115.893020000003</v>
          </cell>
        </row>
        <row r="21">
          <cell r="X21">
            <v>0</v>
          </cell>
        </row>
        <row r="22">
          <cell r="X22">
            <v>0</v>
          </cell>
        </row>
        <row r="23">
          <cell r="X23">
            <v>33115.893020000003</v>
          </cell>
        </row>
        <row r="25">
          <cell r="X25">
            <v>-7393.4789200000005</v>
          </cell>
        </row>
        <row r="26">
          <cell r="X26">
            <v>25722.414100000002</v>
          </cell>
        </row>
        <row r="28">
          <cell r="X28">
            <v>7643.8270600000005</v>
          </cell>
        </row>
        <row r="29">
          <cell r="X29">
            <v>18078.587040000002</v>
          </cell>
        </row>
        <row r="32">
          <cell r="X32">
            <v>46510.275810000006</v>
          </cell>
        </row>
        <row r="39">
          <cell r="X39">
            <v>25622.302030000003</v>
          </cell>
        </row>
        <row r="40">
          <cell r="X40">
            <v>26017.917659999999</v>
          </cell>
        </row>
        <row r="41">
          <cell r="X41">
            <v>36487.189470000005</v>
          </cell>
        </row>
        <row r="42">
          <cell r="X42">
            <v>6375.2903099999994</v>
          </cell>
        </row>
        <row r="43">
          <cell r="X43">
            <v>1916.0275200000001</v>
          </cell>
        </row>
        <row r="44">
          <cell r="X44">
            <v>0</v>
          </cell>
        </row>
        <row r="45">
          <cell r="X45">
            <v>10686.7737</v>
          </cell>
        </row>
        <row r="46">
          <cell r="X46">
            <v>840.81047999999998</v>
          </cell>
        </row>
        <row r="47">
          <cell r="X47">
            <v>0</v>
          </cell>
        </row>
        <row r="48">
          <cell r="X48">
            <v>107946.31117000002</v>
          </cell>
        </row>
        <row r="50">
          <cell r="X50">
            <v>22659.29322</v>
          </cell>
        </row>
        <row r="51">
          <cell r="X51">
            <v>134124.16404999999</v>
          </cell>
        </row>
        <row r="52">
          <cell r="X52">
            <v>0</v>
          </cell>
        </row>
        <row r="53">
          <cell r="X53">
            <v>2965.3854900000001</v>
          </cell>
        </row>
        <row r="54">
          <cell r="X54">
            <v>1547486.38133</v>
          </cell>
        </row>
        <row r="59">
          <cell r="X59">
            <v>1707235.2240899999</v>
          </cell>
        </row>
        <row r="60">
          <cell r="X60">
            <v>1815181.53526</v>
          </cell>
        </row>
        <row r="64">
          <cell r="X64">
            <v>4159.9601000000002</v>
          </cell>
        </row>
        <row r="65">
          <cell r="X65">
            <v>5653.0208899999998</v>
          </cell>
        </row>
        <row r="66">
          <cell r="X66">
            <v>19787.036929999998</v>
          </cell>
        </row>
        <row r="67">
          <cell r="X67">
            <v>11520.520289999999</v>
          </cell>
        </row>
        <row r="68">
          <cell r="X68">
            <v>1365.8307500000001</v>
          </cell>
        </row>
        <row r="69">
          <cell r="X69">
            <v>42486.36896</v>
          </cell>
        </row>
        <row r="71">
          <cell r="X71">
            <v>900.14096999999992</v>
          </cell>
        </row>
        <row r="72">
          <cell r="X72">
            <v>1100000</v>
          </cell>
        </row>
        <row r="73">
          <cell r="X73">
            <v>30937.582569999999</v>
          </cell>
        </row>
        <row r="74">
          <cell r="X74">
            <v>0</v>
          </cell>
        </row>
        <row r="75">
          <cell r="X75">
            <v>204992.48846000002</v>
          </cell>
        </row>
        <row r="76">
          <cell r="X76">
            <v>1336830.2120000003</v>
          </cell>
        </row>
        <row r="77">
          <cell r="X77">
            <v>1379316.5809600004</v>
          </cell>
        </row>
        <row r="80">
          <cell r="X80">
            <v>265409.19397999998</v>
          </cell>
        </row>
        <row r="81">
          <cell r="X81">
            <v>0</v>
          </cell>
        </row>
        <row r="82">
          <cell r="X82">
            <v>50177.250549999997</v>
          </cell>
        </row>
        <row r="83">
          <cell r="X83">
            <v>120278.50977</v>
          </cell>
        </row>
        <row r="84">
          <cell r="X84">
            <v>0</v>
          </cell>
        </row>
        <row r="85">
          <cell r="X85">
            <v>0</v>
          </cell>
        </row>
        <row r="86">
          <cell r="X86">
            <v>435864.95429999998</v>
          </cell>
        </row>
        <row r="87">
          <cell r="X87">
            <v>1815181.5352600003</v>
          </cell>
        </row>
        <row r="96">
          <cell r="X96">
            <v>24.52835</v>
          </cell>
        </row>
        <row r="97">
          <cell r="X97">
            <v>22.298500000000001</v>
          </cell>
        </row>
        <row r="98">
          <cell r="X98">
            <v>2.229849999999999</v>
          </cell>
        </row>
        <row r="100">
          <cell r="X100">
            <v>39437.627040000014</v>
          </cell>
        </row>
        <row r="101">
          <cell r="X101">
            <v>5173.4542700000002</v>
          </cell>
        </row>
        <row r="102">
          <cell r="X102">
            <v>68.703999999999979</v>
          </cell>
        </row>
        <row r="103">
          <cell r="X103">
            <v>12583.656399999996</v>
          </cell>
        </row>
        <row r="104">
          <cell r="X104">
            <v>9179.2916799999985</v>
          </cell>
        </row>
        <row r="105">
          <cell r="X105">
            <v>22919.067080000019</v>
          </cell>
        </row>
        <row r="108">
          <cell r="X108">
            <v>0</v>
          </cell>
        </row>
        <row r="109">
          <cell r="X109">
            <v>-59.429249999999996</v>
          </cell>
        </row>
        <row r="110">
          <cell r="X110">
            <v>22859.637830000018</v>
          </cell>
        </row>
        <row r="112">
          <cell r="X112">
            <v>-1782.7179900000001</v>
          </cell>
        </row>
        <row r="113">
          <cell r="X113">
            <v>21076.919840000017</v>
          </cell>
        </row>
        <row r="115">
          <cell r="X115">
            <v>6132.5513199999996</v>
          </cell>
        </row>
        <row r="116">
          <cell r="X116">
            <v>14944.368520000018</v>
          </cell>
        </row>
        <row r="119">
          <cell r="X119">
            <v>32098.358760000017</v>
          </cell>
        </row>
        <row r="124">
          <cell r="X124">
            <v>13263.868710000001</v>
          </cell>
        </row>
        <row r="125">
          <cell r="X125">
            <v>30997.886039999998</v>
          </cell>
        </row>
        <row r="126">
          <cell r="X126">
            <v>3069.3365800000001</v>
          </cell>
        </row>
        <row r="127">
          <cell r="X127">
            <v>4194.2550199999996</v>
          </cell>
        </row>
        <row r="128">
          <cell r="X128">
            <v>10143.133260000001</v>
          </cell>
        </row>
        <row r="129">
          <cell r="X129">
            <v>0</v>
          </cell>
        </row>
        <row r="130">
          <cell r="X130">
            <v>969.98715000000004</v>
          </cell>
        </row>
        <row r="131">
          <cell r="X131">
            <v>62638.466760000003</v>
          </cell>
        </row>
        <row r="134">
          <cell r="X134">
            <v>900.14096999999992</v>
          </cell>
        </row>
        <row r="135">
          <cell r="X135">
            <v>4303.9515199999996</v>
          </cell>
        </row>
        <row r="136">
          <cell r="X136">
            <v>8185.9367600000014</v>
          </cell>
        </row>
        <row r="137">
          <cell r="X137">
            <v>3362.9309600000006</v>
          </cell>
        </row>
        <row r="138">
          <cell r="X138">
            <v>383619.62688</v>
          </cell>
        </row>
        <row r="139">
          <cell r="X139">
            <v>400372.58708999999</v>
          </cell>
        </row>
        <row r="140">
          <cell r="X140">
            <v>463011.05384999997</v>
          </cell>
        </row>
        <row r="144">
          <cell r="X144">
            <v>7943.1071500000007</v>
          </cell>
        </row>
        <row r="145">
          <cell r="X145">
            <v>1178.8877299999999</v>
          </cell>
        </row>
        <row r="146">
          <cell r="X146">
            <v>8032.6965899999996</v>
          </cell>
        </row>
        <row r="147">
          <cell r="X147">
            <v>4285.7681700000003</v>
          </cell>
        </row>
        <row r="148">
          <cell r="X148">
            <v>13857.986720000001</v>
          </cell>
        </row>
        <row r="149">
          <cell r="X149">
            <v>90742.288739999989</v>
          </cell>
        </row>
        <row r="150">
          <cell r="X150">
            <v>126040.73509999999</v>
          </cell>
        </row>
        <row r="152">
          <cell r="X152">
            <v>1157.4003300000002</v>
          </cell>
        </row>
        <row r="153">
          <cell r="X153">
            <v>23215.410049999999</v>
          </cell>
        </row>
        <row r="154">
          <cell r="X154">
            <v>151906.32547000001</v>
          </cell>
        </row>
        <row r="155">
          <cell r="X155">
            <v>23720.49511</v>
          </cell>
        </row>
        <row r="156">
          <cell r="X156">
            <v>14775.888269999999</v>
          </cell>
        </row>
        <row r="157">
          <cell r="X157">
            <v>214775.51923000001</v>
          </cell>
        </row>
        <row r="158">
          <cell r="X158">
            <v>340816.25433000003</v>
          </cell>
        </row>
        <row r="161">
          <cell r="X161">
            <v>23682.675870000003</v>
          </cell>
        </row>
        <row r="162">
          <cell r="X162">
            <v>65571.273010000004</v>
          </cell>
        </row>
        <row r="163">
          <cell r="X163">
            <v>4736.5354600000001</v>
          </cell>
        </row>
        <row r="164">
          <cell r="X164">
            <v>-1872.7554499999999</v>
          </cell>
        </row>
        <row r="165">
          <cell r="X165">
            <v>30077.071090000001</v>
          </cell>
        </row>
        <row r="166">
          <cell r="X166">
            <v>122194.79998000001</v>
          </cell>
        </row>
        <row r="167">
          <cell r="X167">
            <v>463011.05431000004</v>
          </cell>
        </row>
        <row r="176">
          <cell r="X176">
            <v>0</v>
          </cell>
        </row>
        <row r="177">
          <cell r="X177">
            <v>0</v>
          </cell>
        </row>
        <row r="178">
          <cell r="X178">
            <v>0</v>
          </cell>
        </row>
        <row r="180">
          <cell r="X180">
            <v>7925.2119500000017</v>
          </cell>
        </row>
        <row r="181">
          <cell r="X181">
            <v>166.42483000000004</v>
          </cell>
        </row>
        <row r="182">
          <cell r="X182">
            <v>5.1699999999996749E-3</v>
          </cell>
        </row>
        <row r="183">
          <cell r="X183">
            <v>1116.25668</v>
          </cell>
        </row>
        <row r="184">
          <cell r="X184">
            <v>1168.1041299999997</v>
          </cell>
        </row>
        <row r="185">
          <cell r="X185">
            <v>5807.2811400000028</v>
          </cell>
        </row>
        <row r="189">
          <cell r="X189">
            <v>0</v>
          </cell>
        </row>
        <row r="190">
          <cell r="X190">
            <v>5807.2811400000028</v>
          </cell>
        </row>
        <row r="192">
          <cell r="X192">
            <v>-1906.485279999999</v>
          </cell>
        </row>
        <row r="193">
          <cell r="X193">
            <v>3900.7958600000038</v>
          </cell>
        </row>
        <row r="195">
          <cell r="X195">
            <v>209.41186000000016</v>
          </cell>
        </row>
        <row r="196">
          <cell r="X196">
            <v>3691.3840000000037</v>
          </cell>
        </row>
        <row r="199">
          <cell r="X199">
            <v>6975.3852700000025</v>
          </cell>
        </row>
        <row r="204">
          <cell r="X204">
            <v>7301.9430499999999</v>
          </cell>
        </row>
        <row r="205">
          <cell r="X205">
            <v>4444.4146600000004</v>
          </cell>
        </row>
        <row r="206">
          <cell r="X206">
            <v>215.61842000000001</v>
          </cell>
        </row>
        <row r="207">
          <cell r="X207">
            <v>0.11179</v>
          </cell>
        </row>
        <row r="208">
          <cell r="X208">
            <v>1825.3648400000002</v>
          </cell>
        </row>
        <row r="209">
          <cell r="X209">
            <v>0</v>
          </cell>
        </row>
        <row r="210">
          <cell r="X210">
            <v>438.09733</v>
          </cell>
        </row>
        <row r="211">
          <cell r="X211">
            <v>0</v>
          </cell>
        </row>
        <row r="212">
          <cell r="X212">
            <v>14225.550090000002</v>
          </cell>
        </row>
        <row r="214">
          <cell r="X214">
            <v>0</v>
          </cell>
        </row>
        <row r="215">
          <cell r="X215">
            <v>0</v>
          </cell>
        </row>
        <row r="216">
          <cell r="X216">
            <v>26530.988289999998</v>
          </cell>
        </row>
        <row r="217">
          <cell r="X217">
            <v>203148.78128</v>
          </cell>
        </row>
        <row r="218">
          <cell r="X218">
            <v>6086.61247</v>
          </cell>
        </row>
        <row r="219">
          <cell r="X219">
            <v>235766.38204</v>
          </cell>
        </row>
        <row r="220">
          <cell r="X220">
            <v>249991.93213</v>
          </cell>
        </row>
        <row r="224">
          <cell r="X224">
            <v>0</v>
          </cell>
        </row>
        <row r="225">
          <cell r="X225">
            <v>797.42797999999993</v>
          </cell>
        </row>
        <row r="226">
          <cell r="X226">
            <v>0</v>
          </cell>
        </row>
        <row r="227">
          <cell r="X227">
            <v>0</v>
          </cell>
        </row>
        <row r="228">
          <cell r="X228">
            <v>0</v>
          </cell>
        </row>
        <row r="229">
          <cell r="X229">
            <v>492.72280999999998</v>
          </cell>
        </row>
        <row r="230">
          <cell r="X230">
            <v>7320.7208899999996</v>
          </cell>
        </row>
        <row r="231">
          <cell r="X231">
            <v>-513.24081000000001</v>
          </cell>
        </row>
        <row r="232">
          <cell r="X232">
            <v>882.00382999999999</v>
          </cell>
        </row>
        <row r="233">
          <cell r="X233">
            <v>82852.832139999999</v>
          </cell>
        </row>
        <row r="234">
          <cell r="X234">
            <v>91832.466839999994</v>
          </cell>
        </row>
        <row r="236">
          <cell r="X236">
            <v>2116.4412699999998</v>
          </cell>
        </row>
        <row r="237">
          <cell r="X237">
            <v>65802.00632</v>
          </cell>
        </row>
        <row r="238">
          <cell r="X238">
            <v>247.458</v>
          </cell>
        </row>
        <row r="239">
          <cell r="X239">
            <v>45569.374579999996</v>
          </cell>
        </row>
        <row r="240">
          <cell r="X240">
            <v>113735.28016999998</v>
          </cell>
        </row>
        <row r="241">
          <cell r="X241">
            <v>205567.74700999999</v>
          </cell>
        </row>
        <row r="244">
          <cell r="X244">
            <v>21658.947609999999</v>
          </cell>
        </row>
        <row r="245">
          <cell r="X245">
            <v>81.005529999999993</v>
          </cell>
        </row>
        <row r="246">
          <cell r="X246">
            <v>4331.7899800000005</v>
          </cell>
        </row>
        <row r="247">
          <cell r="X247">
            <v>18352.804</v>
          </cell>
        </row>
        <row r="248">
          <cell r="X248">
            <v>-0.36199999999999999</v>
          </cell>
        </row>
        <row r="249">
          <cell r="X249">
            <v>44424.185120000002</v>
          </cell>
        </row>
        <row r="250">
          <cell r="X250">
            <v>249991.93213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FF_Vías_Chi"/>
    </sheetNames>
    <sheetDataSet>
      <sheetData sheetId="0">
        <row r="9">
          <cell r="Y9">
            <v>814.49261000000001</v>
          </cell>
        </row>
        <row r="10">
          <cell r="Y10">
            <v>9570.6245859999999</v>
          </cell>
        </row>
        <row r="11">
          <cell r="Y11">
            <v>-8756.1319760000006</v>
          </cell>
        </row>
        <row r="13">
          <cell r="Y13">
            <v>10473.489051999999</v>
          </cell>
        </row>
        <row r="14">
          <cell r="Y14">
            <v>36524.804704000002</v>
          </cell>
        </row>
        <row r="15">
          <cell r="Y15">
            <v>637.03604500000006</v>
          </cell>
        </row>
        <row r="16">
          <cell r="Y16">
            <v>835.43048100000124</v>
          </cell>
        </row>
        <row r="17">
          <cell r="Y17">
            <v>174.01734599999997</v>
          </cell>
        </row>
        <row r="18">
          <cell r="Y18">
            <v>37869.749997999999</v>
          </cell>
        </row>
        <row r="22">
          <cell r="Y22">
            <v>-1008.9179799999999</v>
          </cell>
        </row>
        <row r="23">
          <cell r="Y23">
            <v>36860.832017999994</v>
          </cell>
        </row>
        <row r="25">
          <cell r="Y25">
            <v>-43006.689216999999</v>
          </cell>
        </row>
        <row r="26">
          <cell r="Y26">
            <v>-6145.8571990000055</v>
          </cell>
        </row>
        <row r="28">
          <cell r="Y28">
            <v>-12659.656793</v>
          </cell>
        </row>
        <row r="29">
          <cell r="Y29">
            <v>6513.7995939999946</v>
          </cell>
        </row>
        <row r="31">
          <cell r="Y31">
            <v>-6319.8745450000051</v>
          </cell>
        </row>
        <row r="37">
          <cell r="Y37">
            <v>128957.802866</v>
          </cell>
        </row>
        <row r="38">
          <cell r="Y38">
            <v>212202.23999199999</v>
          </cell>
        </row>
        <row r="39">
          <cell r="Y39">
            <v>80.620692000000005</v>
          </cell>
        </row>
        <row r="40">
          <cell r="Y40">
            <v>3017.5825709999999</v>
          </cell>
        </row>
        <row r="41">
          <cell r="Y41">
            <v>782.90594799999997</v>
          </cell>
        </row>
        <row r="42">
          <cell r="Y42">
            <v>0</v>
          </cell>
        </row>
        <row r="43">
          <cell r="Y43">
            <v>345041.152069</v>
          </cell>
        </row>
        <row r="45">
          <cell r="Y45">
            <v>0</v>
          </cell>
        </row>
        <row r="46">
          <cell r="Y46">
            <v>0</v>
          </cell>
        </row>
        <row r="47">
          <cell r="Y47">
            <v>0</v>
          </cell>
        </row>
        <row r="48">
          <cell r="Y48">
            <v>0</v>
          </cell>
        </row>
        <row r="49">
          <cell r="Y49">
            <v>1119614.761831</v>
          </cell>
        </row>
        <row r="50">
          <cell r="Y50">
            <v>0</v>
          </cell>
        </row>
        <row r="51">
          <cell r="Y51">
            <v>110.989946</v>
          </cell>
        </row>
        <row r="52">
          <cell r="Y52">
            <v>0</v>
          </cell>
        </row>
        <row r="53">
          <cell r="Y53">
            <v>106.375046</v>
          </cell>
        </row>
        <row r="54">
          <cell r="Y54">
            <v>0</v>
          </cell>
        </row>
        <row r="55">
          <cell r="Y55">
            <v>0</v>
          </cell>
        </row>
        <row r="56">
          <cell r="Y56">
            <v>386.94254999999998</v>
          </cell>
        </row>
        <row r="57">
          <cell r="Y57">
            <v>0</v>
          </cell>
        </row>
        <row r="58">
          <cell r="Y58">
            <v>1120219.0693729999</v>
          </cell>
        </row>
        <row r="59">
          <cell r="Y59">
            <v>1465260.221442</v>
          </cell>
        </row>
        <row r="63">
          <cell r="Y63">
            <v>104592.081036</v>
          </cell>
        </row>
        <row r="64">
          <cell r="Y64">
            <v>12080.057290000001</v>
          </cell>
        </row>
        <row r="65">
          <cell r="Y65">
            <v>230.35429400000001</v>
          </cell>
        </row>
        <row r="66">
          <cell r="Y66">
            <v>2308.777059</v>
          </cell>
        </row>
        <row r="67">
          <cell r="Y67">
            <v>12501.872487000001</v>
          </cell>
        </row>
        <row r="68">
          <cell r="Y68">
            <v>890.48920199999998</v>
          </cell>
        </row>
        <row r="69">
          <cell r="Y69">
            <v>504.57328899999999</v>
          </cell>
        </row>
        <row r="70">
          <cell r="Y70">
            <v>0</v>
          </cell>
        </row>
        <row r="71">
          <cell r="Y71">
            <v>133108.20465699999</v>
          </cell>
        </row>
        <row r="73">
          <cell r="Y73">
            <v>793060.90998999996</v>
          </cell>
        </row>
        <row r="74">
          <cell r="Y74">
            <v>122.22329000000001</v>
          </cell>
        </row>
        <row r="75">
          <cell r="Y75">
            <v>0</v>
          </cell>
        </row>
        <row r="76">
          <cell r="Y76">
            <v>0</v>
          </cell>
        </row>
        <row r="77">
          <cell r="Y77">
            <v>0</v>
          </cell>
        </row>
        <row r="78">
          <cell r="Y78">
            <v>0</v>
          </cell>
        </row>
        <row r="79">
          <cell r="Y79">
            <v>98245.723693000007</v>
          </cell>
        </row>
        <row r="80">
          <cell r="Y80">
            <v>891428.85697299999</v>
          </cell>
        </row>
        <row r="81">
          <cell r="Y81">
            <v>1024537.06163</v>
          </cell>
        </row>
        <row r="84">
          <cell r="Y84">
            <v>85214.499991000004</v>
          </cell>
        </row>
        <row r="85">
          <cell r="Y85">
            <v>0</v>
          </cell>
        </row>
        <row r="86">
          <cell r="Y86">
            <v>0</v>
          </cell>
        </row>
        <row r="87">
          <cell r="Y87">
            <v>345594.87307600002</v>
          </cell>
        </row>
        <row r="88">
          <cell r="Y88">
            <v>9911.820232</v>
          </cell>
        </row>
        <row r="89">
          <cell r="Y89">
            <v>1.9665140000000001</v>
          </cell>
        </row>
        <row r="90">
          <cell r="Y90">
            <v>440723.15981300006</v>
          </cell>
        </row>
        <row r="91">
          <cell r="Y91">
            <v>1465260.221443</v>
          </cell>
        </row>
        <row r="99">
          <cell r="Y99">
            <v>10266.739632000001</v>
          </cell>
        </row>
        <row r="100">
          <cell r="Y100">
            <v>2186.7353579999999</v>
          </cell>
        </row>
        <row r="101">
          <cell r="Y101">
            <v>8080.0042740000008</v>
          </cell>
        </row>
        <row r="103">
          <cell r="Y103">
            <v>5280.2685679999995</v>
          </cell>
        </row>
        <row r="104">
          <cell r="Y104">
            <v>2703.2060100000003</v>
          </cell>
        </row>
        <row r="105">
          <cell r="Y105">
            <v>0</v>
          </cell>
        </row>
        <row r="106">
          <cell r="Y106">
            <v>11525.837542000001</v>
          </cell>
        </row>
        <row r="107">
          <cell r="Y107">
            <v>30.823282000000003</v>
          </cell>
        </row>
        <row r="108">
          <cell r="Y108">
            <v>4506.8180279999988</v>
          </cell>
        </row>
        <row r="112">
          <cell r="Y112">
            <v>5.0587449999999983</v>
          </cell>
        </row>
        <row r="113">
          <cell r="Y113">
            <v>4511.876772999999</v>
          </cell>
        </row>
        <row r="115">
          <cell r="Y115">
            <v>-1651.3455200000003</v>
          </cell>
        </row>
        <row r="116">
          <cell r="Y116">
            <v>2860.5312529999987</v>
          </cell>
        </row>
        <row r="118">
          <cell r="Y118">
            <v>-1124.4581410000001</v>
          </cell>
        </row>
        <row r="119">
          <cell r="Y119">
            <v>1736.0731119999987</v>
          </cell>
        </row>
        <row r="121">
          <cell r="Y121">
            <v>2829.7079709999989</v>
          </cell>
        </row>
        <row r="127">
          <cell r="Y127">
            <v>23783.955461000001</v>
          </cell>
        </row>
        <row r="128">
          <cell r="Y128">
            <v>85874.798878000001</v>
          </cell>
        </row>
        <row r="129">
          <cell r="Y129">
            <v>11.729425000000001</v>
          </cell>
        </row>
        <row r="130">
          <cell r="Y130">
            <v>1214.41354</v>
          </cell>
        </row>
        <row r="131">
          <cell r="Y131">
            <v>0</v>
          </cell>
        </row>
        <row r="132">
          <cell r="Y132">
            <v>0</v>
          </cell>
        </row>
        <row r="133">
          <cell r="Y133">
            <v>110884.897304</v>
          </cell>
        </row>
        <row r="135">
          <cell r="Y135">
            <v>0</v>
          </cell>
        </row>
        <row r="136">
          <cell r="Y136">
            <v>0</v>
          </cell>
        </row>
        <row r="137">
          <cell r="Y137">
            <v>0</v>
          </cell>
        </row>
        <row r="138">
          <cell r="Y138">
            <v>0</v>
          </cell>
        </row>
        <row r="139">
          <cell r="Y139">
            <v>27812.362980999998</v>
          </cell>
        </row>
        <row r="140">
          <cell r="Y140">
            <v>0</v>
          </cell>
        </row>
        <row r="141">
          <cell r="Y141">
            <v>67.044551999999996</v>
          </cell>
        </row>
        <row r="142">
          <cell r="Y142">
            <v>0</v>
          </cell>
        </row>
        <row r="143">
          <cell r="Y143">
            <v>55.426366000000002</v>
          </cell>
        </row>
        <row r="144">
          <cell r="Y144">
            <v>0</v>
          </cell>
        </row>
        <row r="145">
          <cell r="Y145">
            <v>5769.6220300000004</v>
          </cell>
        </row>
        <row r="146">
          <cell r="Y146">
            <v>68.607738999999995</v>
          </cell>
        </row>
        <row r="147">
          <cell r="Y147">
            <v>0</v>
          </cell>
        </row>
        <row r="148">
          <cell r="Y148">
            <v>33773.063667999995</v>
          </cell>
        </row>
        <row r="149">
          <cell r="Y149">
            <v>144657.960972</v>
          </cell>
        </row>
        <row r="153">
          <cell r="Y153">
            <v>37977.839837</v>
          </cell>
        </row>
        <row r="154">
          <cell r="Y154">
            <v>10664.546304</v>
          </cell>
        </row>
        <row r="155">
          <cell r="Y155">
            <v>25.786845</v>
          </cell>
        </row>
        <row r="156">
          <cell r="Y156">
            <v>384.834744</v>
          </cell>
        </row>
        <row r="157">
          <cell r="Y157">
            <v>2303.6722220000001</v>
          </cell>
        </row>
        <row r="158">
          <cell r="Y158">
            <v>183.23755700000001</v>
          </cell>
        </row>
        <row r="159">
          <cell r="Y159">
            <v>1.8254859999999999</v>
          </cell>
        </row>
        <row r="160">
          <cell r="Y160">
            <v>0</v>
          </cell>
        </row>
        <row r="161">
          <cell r="Y161">
            <v>51541.742995000001</v>
          </cell>
        </row>
        <row r="163">
          <cell r="Y163">
            <v>26889.468815</v>
          </cell>
        </row>
        <row r="164">
          <cell r="Y164">
            <v>29.420718999999998</v>
          </cell>
        </row>
        <row r="165">
          <cell r="Y165">
            <v>0</v>
          </cell>
        </row>
        <row r="166">
          <cell r="Y166">
            <v>0</v>
          </cell>
        </row>
        <row r="167">
          <cell r="Y167">
            <v>0</v>
          </cell>
        </row>
        <row r="168">
          <cell r="Y168">
            <v>0</v>
          </cell>
        </row>
        <row r="169">
          <cell r="Y169">
            <v>0</v>
          </cell>
        </row>
        <row r="170">
          <cell r="Y170">
            <v>26918.889534000002</v>
          </cell>
        </row>
        <row r="171">
          <cell r="Y171">
            <v>78460.632528999995</v>
          </cell>
        </row>
        <row r="174">
          <cell r="Y174">
            <v>48962.667104</v>
          </cell>
        </row>
        <row r="175">
          <cell r="Y175">
            <v>0</v>
          </cell>
        </row>
        <row r="176">
          <cell r="Y176">
            <v>0</v>
          </cell>
        </row>
        <row r="177">
          <cell r="Y177">
            <v>12301.808786</v>
          </cell>
        </row>
        <row r="178">
          <cell r="Y178">
            <v>4932.8525529999997</v>
          </cell>
        </row>
        <row r="179">
          <cell r="Y179">
            <v>0</v>
          </cell>
        </row>
        <row r="180">
          <cell r="Y180">
            <v>66197.328443000006</v>
          </cell>
        </row>
        <row r="181">
          <cell r="Y181">
            <v>144657.960972</v>
          </cell>
        </row>
        <row r="189">
          <cell r="Y189">
            <v>1536.1693649999997</v>
          </cell>
        </row>
        <row r="190">
          <cell r="Y190">
            <v>6834.0591069999991</v>
          </cell>
        </row>
        <row r="191">
          <cell r="Y191">
            <v>-5297.8897419999994</v>
          </cell>
        </row>
        <row r="192">
          <cell r="Y192">
            <v>0</v>
          </cell>
        </row>
        <row r="193">
          <cell r="Y193">
            <v>2843.8022010000004</v>
          </cell>
        </row>
        <row r="194">
          <cell r="Y194">
            <v>0</v>
          </cell>
        </row>
        <row r="195">
          <cell r="Y195">
            <v>0</v>
          </cell>
        </row>
        <row r="196">
          <cell r="Y196">
            <v>-2865.1117839999997</v>
          </cell>
        </row>
        <row r="197">
          <cell r="Y197">
            <v>38.635010999999992</v>
          </cell>
        </row>
        <row r="198">
          <cell r="Y198">
            <v>372.38923200000079</v>
          </cell>
        </row>
        <row r="202">
          <cell r="Y202">
            <v>-99.239783999999986</v>
          </cell>
        </row>
        <row r="203">
          <cell r="Y203">
            <v>273.1494480000008</v>
          </cell>
        </row>
        <row r="205">
          <cell r="Y205">
            <v>275.94949599999995</v>
          </cell>
        </row>
        <row r="206">
          <cell r="Y206">
            <v>549.09894400000076</v>
          </cell>
        </row>
        <row r="208">
          <cell r="Y208">
            <v>-2376.5063660000001</v>
          </cell>
        </row>
        <row r="211">
          <cell r="Y211">
            <v>510.46393300000102</v>
          </cell>
        </row>
        <row r="218">
          <cell r="Y218">
            <v>17397.112867</v>
          </cell>
        </row>
        <row r="219">
          <cell r="Y219">
            <v>3275.3858409999998</v>
          </cell>
        </row>
        <row r="220">
          <cell r="Y220">
            <v>13.669385</v>
          </cell>
        </row>
        <row r="221">
          <cell r="Y221">
            <v>440.01253000000003</v>
          </cell>
        </row>
        <row r="222">
          <cell r="Y222">
            <v>0</v>
          </cell>
        </row>
        <row r="223">
          <cell r="Y223">
            <v>0</v>
          </cell>
        </row>
        <row r="224">
          <cell r="Y224">
            <v>21126.180623</v>
          </cell>
        </row>
        <row r="226">
          <cell r="Y226">
            <v>0</v>
          </cell>
        </row>
        <row r="227">
          <cell r="Y227">
            <v>0</v>
          </cell>
        </row>
        <row r="228">
          <cell r="Y228">
            <v>0</v>
          </cell>
        </row>
        <row r="229">
          <cell r="Y229">
            <v>0</v>
          </cell>
        </row>
        <row r="230">
          <cell r="Y230">
            <v>0</v>
          </cell>
        </row>
        <row r="231">
          <cell r="Y231">
            <v>0</v>
          </cell>
        </row>
        <row r="232">
          <cell r="Y232">
            <v>25.784029</v>
          </cell>
        </row>
        <row r="233">
          <cell r="Y233">
            <v>0</v>
          </cell>
        </row>
        <row r="234">
          <cell r="Y234">
            <v>82.306113999999994</v>
          </cell>
        </row>
        <row r="235">
          <cell r="Y235">
            <v>0</v>
          </cell>
        </row>
        <row r="236">
          <cell r="Y236">
            <v>12219.639773999999</v>
          </cell>
        </row>
        <row r="237">
          <cell r="Y237">
            <v>15.207227</v>
          </cell>
        </row>
        <row r="238">
          <cell r="Y238">
            <v>0</v>
          </cell>
        </row>
        <row r="239">
          <cell r="Y239">
            <v>12342.937144</v>
          </cell>
        </row>
        <row r="240">
          <cell r="Y240">
            <v>33469.117767000003</v>
          </cell>
        </row>
        <row r="244">
          <cell r="Y244">
            <v>0</v>
          </cell>
        </row>
        <row r="245">
          <cell r="Y245">
            <v>5212.7364619999998</v>
          </cell>
        </row>
        <row r="246">
          <cell r="Y246">
            <v>36.517426999999998</v>
          </cell>
        </row>
        <row r="247">
          <cell r="Y247">
            <v>514.81174699999997</v>
          </cell>
        </row>
        <row r="248">
          <cell r="Y248">
            <v>661.47561199999996</v>
          </cell>
        </row>
        <row r="249">
          <cell r="Y249">
            <v>241.211052</v>
          </cell>
        </row>
        <row r="250">
          <cell r="Y250">
            <v>0</v>
          </cell>
        </row>
        <row r="251">
          <cell r="Y251">
            <v>0</v>
          </cell>
        </row>
        <row r="252">
          <cell r="Y252">
            <v>6666.7522999999992</v>
          </cell>
        </row>
        <row r="254">
          <cell r="Y254">
            <v>0</v>
          </cell>
        </row>
        <row r="255">
          <cell r="Y255">
            <v>0</v>
          </cell>
        </row>
        <row r="256">
          <cell r="Y256">
            <v>0</v>
          </cell>
        </row>
        <row r="257">
          <cell r="Y257">
            <v>0</v>
          </cell>
        </row>
        <row r="258">
          <cell r="Y258">
            <v>0</v>
          </cell>
        </row>
        <row r="259">
          <cell r="Y259">
            <v>0</v>
          </cell>
        </row>
        <row r="260">
          <cell r="Y260">
            <v>0</v>
          </cell>
        </row>
        <row r="261">
          <cell r="Y261">
            <v>0</v>
          </cell>
        </row>
        <row r="262">
          <cell r="Y262">
            <v>6666.7522999999992</v>
          </cell>
        </row>
        <row r="265">
          <cell r="Y265">
            <v>30199.025601000001</v>
          </cell>
        </row>
        <row r="266">
          <cell r="Y266">
            <v>0</v>
          </cell>
        </row>
        <row r="267">
          <cell r="Y267">
            <v>0</v>
          </cell>
        </row>
        <row r="268">
          <cell r="Y268">
            <v>-6450.4312470000004</v>
          </cell>
        </row>
        <row r="269">
          <cell r="Y269">
            <v>3053.7711129999998</v>
          </cell>
        </row>
        <row r="270">
          <cell r="Y270">
            <v>0</v>
          </cell>
        </row>
        <row r="271">
          <cell r="Y271">
            <v>26802.365467</v>
          </cell>
        </row>
        <row r="272">
          <cell r="Y272">
            <v>33469.117766999996</v>
          </cell>
        </row>
        <row r="279">
          <cell r="Y279" t="str">
            <v>2T22</v>
          </cell>
        </row>
        <row r="281">
          <cell r="Y281">
            <v>7474.8156929999996</v>
          </cell>
        </row>
        <row r="282">
          <cell r="Y282">
            <v>6499.8397329999998</v>
          </cell>
        </row>
        <row r="283">
          <cell r="Y283">
            <v>974.97595999999976</v>
          </cell>
        </row>
        <row r="285">
          <cell r="Y285">
            <v>2593.6193430000003</v>
          </cell>
        </row>
        <row r="286">
          <cell r="Y286">
            <v>2144.6996020000001</v>
          </cell>
        </row>
        <row r="287">
          <cell r="Y287">
            <v>0</v>
          </cell>
        </row>
        <row r="288">
          <cell r="Y288">
            <v>2401.4993910000003</v>
          </cell>
        </row>
        <row r="289">
          <cell r="Y289">
            <v>37.225268000000007</v>
          </cell>
        </row>
        <row r="290">
          <cell r="Y290">
            <v>3274.5702460000002</v>
          </cell>
        </row>
        <row r="294">
          <cell r="Y294">
            <v>-24.084299999999999</v>
          </cell>
        </row>
        <row r="295">
          <cell r="Y295">
            <v>3250.4859460000002</v>
          </cell>
        </row>
        <row r="297">
          <cell r="Y297">
            <v>1454.953035</v>
          </cell>
        </row>
        <row r="298">
          <cell r="Y298">
            <v>4705.4389810000002</v>
          </cell>
        </row>
        <row r="300">
          <cell r="Y300">
            <v>684.93140500000004</v>
          </cell>
        </row>
        <row r="301">
          <cell r="Y301">
            <v>4020.507576</v>
          </cell>
        </row>
        <row r="303">
          <cell r="Y303">
            <v>4668.2137130000001</v>
          </cell>
        </row>
        <row r="307">
          <cell r="Y307" t="str">
            <v>2T22</v>
          </cell>
        </row>
        <row r="310">
          <cell r="Y310">
            <v>13212.293331000001</v>
          </cell>
        </row>
        <row r="311">
          <cell r="Y311">
            <v>35958.736399000001</v>
          </cell>
        </row>
        <row r="312">
          <cell r="Y312">
            <v>1803.6367230000001</v>
          </cell>
        </row>
        <row r="313">
          <cell r="Y313">
            <v>1088.6082879999999</v>
          </cell>
        </row>
        <row r="314">
          <cell r="Y314">
            <v>0</v>
          </cell>
        </row>
        <row r="315">
          <cell r="Y315">
            <v>0</v>
          </cell>
        </row>
        <row r="316">
          <cell r="Y316">
            <v>52063.274741000008</v>
          </cell>
        </row>
        <row r="318">
          <cell r="Y318">
            <v>0</v>
          </cell>
        </row>
        <row r="319">
          <cell r="Y319">
            <v>0</v>
          </cell>
        </row>
        <row r="320">
          <cell r="Y320">
            <v>0</v>
          </cell>
        </row>
        <row r="321">
          <cell r="Y321">
            <v>0</v>
          </cell>
        </row>
        <row r="322">
          <cell r="Y322">
            <v>0</v>
          </cell>
        </row>
        <row r="323">
          <cell r="Y323">
            <v>0</v>
          </cell>
        </row>
        <row r="324">
          <cell r="Y324">
            <v>56.764273000000003</v>
          </cell>
        </row>
        <row r="325">
          <cell r="Y325">
            <v>0</v>
          </cell>
        </row>
        <row r="326">
          <cell r="Y326">
            <v>52.042031999999999</v>
          </cell>
        </row>
        <row r="327">
          <cell r="Y327">
            <v>0</v>
          </cell>
        </row>
        <row r="328">
          <cell r="Y328">
            <v>0</v>
          </cell>
        </row>
        <row r="329">
          <cell r="Y329">
            <v>63.804954000000002</v>
          </cell>
        </row>
        <row r="330">
          <cell r="Y330">
            <v>0</v>
          </cell>
        </row>
        <row r="331">
          <cell r="Y331">
            <v>172.61125900000002</v>
          </cell>
        </row>
        <row r="332">
          <cell r="Y332">
            <v>52235.885999999999</v>
          </cell>
        </row>
        <row r="336">
          <cell r="Y336">
            <v>12633.277212000001</v>
          </cell>
        </row>
        <row r="337">
          <cell r="Y337">
            <v>7334.3334029999996</v>
          </cell>
        </row>
        <row r="338">
          <cell r="Y338">
            <v>21.778455000000001</v>
          </cell>
        </row>
        <row r="339">
          <cell r="Y339">
            <v>234.23590300000001</v>
          </cell>
        </row>
        <row r="340">
          <cell r="Y340">
            <v>1292.828348</v>
          </cell>
        </row>
        <row r="341">
          <cell r="Y341">
            <v>150.36559199999999</v>
          </cell>
        </row>
        <row r="342">
          <cell r="Y342">
            <v>0</v>
          </cell>
        </row>
        <row r="343">
          <cell r="Y343">
            <v>0</v>
          </cell>
        </row>
        <row r="344">
          <cell r="Y344">
            <v>21666.818912999999</v>
          </cell>
        </row>
        <row r="346">
          <cell r="Y346">
            <v>8159.7021400000003</v>
          </cell>
        </row>
        <row r="347">
          <cell r="Y347">
            <v>25.281797999999998</v>
          </cell>
        </row>
        <row r="348">
          <cell r="Y348">
            <v>0</v>
          </cell>
        </row>
        <row r="349">
          <cell r="Y349">
            <v>0</v>
          </cell>
        </row>
        <row r="350">
          <cell r="Y350">
            <v>0</v>
          </cell>
        </row>
        <row r="351">
          <cell r="Y351">
            <v>0</v>
          </cell>
        </row>
        <row r="352">
          <cell r="Y352">
            <v>4758.6491880000003</v>
          </cell>
        </row>
        <row r="353">
          <cell r="Y353">
            <v>12943.633126000001</v>
          </cell>
        </row>
        <row r="354">
          <cell r="Y354">
            <v>34610.452038999996</v>
          </cell>
        </row>
        <row r="357">
          <cell r="Y357">
            <v>9650.4594660000002</v>
          </cell>
        </row>
        <row r="358">
          <cell r="Y358">
            <v>0</v>
          </cell>
        </row>
        <row r="359">
          <cell r="Y359">
            <v>0</v>
          </cell>
        </row>
        <row r="360">
          <cell r="Y360">
            <v>4958.490135</v>
          </cell>
        </row>
        <row r="361">
          <cell r="Y361">
            <v>3016.4843609999998</v>
          </cell>
        </row>
        <row r="362">
          <cell r="Y362">
            <v>0</v>
          </cell>
        </row>
        <row r="363">
          <cell r="Y363">
            <v>17625.433959999998</v>
          </cell>
        </row>
        <row r="364">
          <cell r="Y364">
            <v>52235.885998999998</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posISA"/>
      <sheetName val="Bonos"/>
      <sheetName val="Creditos"/>
      <sheetName val="TFija_TasaVar"/>
      <sheetName val="KitBonos"/>
      <sheetName val="InterCo"/>
      <sheetName val="DeudaNoConsol"/>
      <sheetName val="KitCreditos"/>
      <sheetName val="Distr.Bancos"/>
      <sheetName val="Jun2022"/>
      <sheetName val="Contabilidad"/>
      <sheetName val="JunCA22"/>
      <sheetName val="Participacion"/>
      <sheetName val="Graficoxpais"/>
      <sheetName val="MOV-DEUDA POR PAIS"/>
      <sheetName val="Inf.Trim"/>
      <sheetName val="Hoja1"/>
      <sheetName val="Indicadores"/>
      <sheetName val="PerfilD"/>
      <sheetName val="InformePag1"/>
      <sheetName val="InformePag2"/>
      <sheetName val="InformePag3"/>
      <sheetName val="InformePag4"/>
      <sheetName val="Informe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83">
          <cell r="E83">
            <v>2022</v>
          </cell>
          <cell r="F83">
            <v>2023</v>
          </cell>
          <cell r="G83">
            <v>2024</v>
          </cell>
          <cell r="H83">
            <v>2025</v>
          </cell>
          <cell r="I83">
            <v>2026</v>
          </cell>
          <cell r="J83">
            <v>2027</v>
          </cell>
          <cell r="K83">
            <v>2028</v>
          </cell>
          <cell r="L83">
            <v>2029</v>
          </cell>
          <cell r="M83">
            <v>2030</v>
          </cell>
          <cell r="N83">
            <v>2031</v>
          </cell>
          <cell r="O83">
            <v>2032</v>
          </cell>
          <cell r="P83">
            <v>2033</v>
          </cell>
          <cell r="Q83">
            <v>2034</v>
          </cell>
          <cell r="R83">
            <v>2035</v>
          </cell>
          <cell r="S83" t="str">
            <v>…</v>
          </cell>
          <cell r="T83">
            <v>2041</v>
          </cell>
          <cell r="U83">
            <v>2042</v>
          </cell>
          <cell r="V83" t="str">
            <v>…</v>
          </cell>
          <cell r="W83">
            <v>2047</v>
          </cell>
          <cell r="X83">
            <v>2048</v>
          </cell>
          <cell r="Y83" t="str">
            <v>…</v>
          </cell>
          <cell r="Z83">
            <v>2054</v>
          </cell>
          <cell r="AA83">
            <v>2055</v>
          </cell>
          <cell r="AB83">
            <v>2056</v>
          </cell>
        </row>
        <row r="97">
          <cell r="C97" t="str">
            <v>Colombia</v>
          </cell>
          <cell r="E97">
            <v>3.218794125664667</v>
          </cell>
          <cell r="F97">
            <v>75.889110599751348</v>
          </cell>
          <cell r="G97">
            <v>116.31895425888565</v>
          </cell>
          <cell r="H97">
            <v>97.937491914888042</v>
          </cell>
          <cell r="I97">
            <v>65.012392731019929</v>
          </cell>
          <cell r="J97">
            <v>75.444187308531099</v>
          </cell>
          <cell r="K97">
            <v>118.68309505638832</v>
          </cell>
          <cell r="L97">
            <v>85.477702134792068</v>
          </cell>
          <cell r="M97">
            <v>79.207307047828508</v>
          </cell>
          <cell r="N97">
            <v>193.71695213726201</v>
          </cell>
          <cell r="O97">
            <v>204.11451886803343</v>
          </cell>
          <cell r="P97">
            <v>200.14425345198259</v>
          </cell>
          <cell r="Q97">
            <v>48.629733330178759</v>
          </cell>
          <cell r="R97">
            <v>68.892769351963523</v>
          </cell>
          <cell r="S97">
            <v>38.1925382154201</v>
          </cell>
          <cell r="T97">
            <v>61.29662965448567</v>
          </cell>
          <cell r="U97">
            <v>58.854455635050037</v>
          </cell>
          <cell r="V97">
            <v>48.803988884231735</v>
          </cell>
          <cell r="W97">
            <v>55.680598526458091</v>
          </cell>
        </row>
        <row r="98">
          <cell r="E98">
            <v>13.285476189857143</v>
          </cell>
          <cell r="F98">
            <v>313.23002732715571</v>
          </cell>
          <cell r="G98">
            <v>480.10299413492282</v>
          </cell>
          <cell r="H98">
            <v>404.23405975394303</v>
          </cell>
          <cell r="I98">
            <v>268.33670062550283</v>
          </cell>
          <cell r="J98">
            <v>311.39361979034288</v>
          </cell>
          <cell r="K98">
            <v>489.86091435239115</v>
          </cell>
          <cell r="L98">
            <v>352.80665123029024</v>
          </cell>
          <cell r="M98">
            <v>326.92578362070077</v>
          </cell>
          <cell r="N98">
            <v>799.56090843798484</v>
          </cell>
          <cell r="O98">
            <v>842.47655319224191</v>
          </cell>
          <cell r="P98">
            <v>826.08940179545471</v>
          </cell>
          <cell r="Q98">
            <v>200.71776542831293</v>
          </cell>
          <cell r="R98">
            <v>284.35283871714887</v>
          </cell>
          <cell r="S98">
            <v>157.63855570800001</v>
          </cell>
          <cell r="T98">
            <v>252.99999999999997</v>
          </cell>
          <cell r="U98">
            <v>242.92</v>
          </cell>
          <cell r="V98">
            <v>201.43699999999998</v>
          </cell>
          <cell r="W98">
            <v>229.82</v>
          </cell>
          <cell r="X98">
            <v>0</v>
          </cell>
          <cell r="Y98">
            <v>0</v>
          </cell>
          <cell r="Z98">
            <v>0</v>
          </cell>
          <cell r="AA98">
            <v>0</v>
          </cell>
          <cell r="AB98">
            <v>0</v>
          </cell>
        </row>
        <row r="115">
          <cell r="E115">
            <v>116.53419536076937</v>
          </cell>
          <cell r="F115">
            <v>60.2277266346372</v>
          </cell>
          <cell r="G115">
            <v>37.285320493333337</v>
          </cell>
          <cell r="H115">
            <v>36.00357961000001</v>
          </cell>
          <cell r="I115">
            <v>104.85945478579725</v>
          </cell>
          <cell r="J115">
            <v>0.54974155000000002</v>
          </cell>
          <cell r="K115">
            <v>0</v>
          </cell>
          <cell r="L115">
            <v>0</v>
          </cell>
          <cell r="M115">
            <v>133.33333333333331</v>
          </cell>
          <cell r="N115">
            <v>173.33333333333331</v>
          </cell>
          <cell r="O115">
            <v>133.33333333333331</v>
          </cell>
          <cell r="P115">
            <v>133.33333333333331</v>
          </cell>
          <cell r="Q115">
            <v>129.16666666666663</v>
          </cell>
          <cell r="R115">
            <v>125</v>
          </cell>
          <cell r="S115">
            <v>312.5</v>
          </cell>
          <cell r="T115">
            <v>0</v>
          </cell>
          <cell r="U115">
            <v>0</v>
          </cell>
          <cell r="V115">
            <v>0</v>
          </cell>
          <cell r="W115">
            <v>0</v>
          </cell>
        </row>
        <row r="116">
          <cell r="E116">
            <v>480.99139532571479</v>
          </cell>
          <cell r="F116">
            <v>248.58813485266603</v>
          </cell>
          <cell r="G116">
            <v>153.89404177661856</v>
          </cell>
          <cell r="H116">
            <v>148.60369473288674</v>
          </cell>
          <cell r="I116">
            <v>432.8042538447346</v>
          </cell>
          <cell r="J116">
            <v>2.2690417553784998</v>
          </cell>
          <cell r="K116">
            <v>0</v>
          </cell>
          <cell r="L116">
            <v>0</v>
          </cell>
          <cell r="M116">
            <v>550.32933333333324</v>
          </cell>
          <cell r="N116">
            <v>715.42813333333334</v>
          </cell>
          <cell r="O116">
            <v>550.32933333333324</v>
          </cell>
          <cell r="P116">
            <v>550.32933333333324</v>
          </cell>
          <cell r="Q116">
            <v>533.13154166666652</v>
          </cell>
          <cell r="R116">
            <v>515.93375000000003</v>
          </cell>
          <cell r="S116">
            <v>1289.8343749999999</v>
          </cell>
          <cell r="T116">
            <v>0</v>
          </cell>
          <cell r="U116">
            <v>0</v>
          </cell>
          <cell r="V116">
            <v>0</v>
          </cell>
          <cell r="W116">
            <v>0</v>
          </cell>
          <cell r="X116">
            <v>0</v>
          </cell>
          <cell r="Y116">
            <v>0</v>
          </cell>
          <cell r="Z116">
            <v>0</v>
          </cell>
          <cell r="AA116">
            <v>0</v>
          </cell>
          <cell r="AB116">
            <v>0</v>
          </cell>
        </row>
        <row r="134">
          <cell r="E134">
            <v>25.598402496681953</v>
          </cell>
          <cell r="F134">
            <v>35.892559630992871</v>
          </cell>
          <cell r="G134">
            <v>334.64142242814302</v>
          </cell>
          <cell r="H134">
            <v>178.02883577693464</v>
          </cell>
          <cell r="I134">
            <v>74.808737680585949</v>
          </cell>
          <cell r="J134">
            <v>149.68745984693999</v>
          </cell>
          <cell r="K134">
            <v>149.65137383580893</v>
          </cell>
          <cell r="L134">
            <v>96.676661328653296</v>
          </cell>
          <cell r="M134">
            <v>20.117751559884251</v>
          </cell>
          <cell r="N134">
            <v>153.10377418051863</v>
          </cell>
          <cell r="O134">
            <v>33.925114255665754</v>
          </cell>
          <cell r="P134">
            <v>14.331296986152102</v>
          </cell>
          <cell r="Q134">
            <v>14.331296986152102</v>
          </cell>
          <cell r="R134">
            <v>14.331296986152102</v>
          </cell>
          <cell r="S134">
            <v>129.24423649624367</v>
          </cell>
          <cell r="T134">
            <v>14.331296986151953</v>
          </cell>
          <cell r="U134">
            <v>12.099733977632322</v>
          </cell>
          <cell r="V134">
            <v>73.206157610885427</v>
          </cell>
          <cell r="W134">
            <v>0</v>
          </cell>
        </row>
        <row r="135">
          <cell r="E135">
            <v>105.65663835297987</v>
          </cell>
          <cell r="F135">
            <v>148.14546310013415</v>
          </cell>
          <cell r="G135">
            <v>1381.2224318294875</v>
          </cell>
          <cell r="H135">
            <v>734.80867880422443</v>
          </cell>
          <cell r="I135">
            <v>308.77082051448809</v>
          </cell>
          <cell r="J135">
            <v>617.83049989444942</v>
          </cell>
          <cell r="K135">
            <v>617.68155596608631</v>
          </cell>
          <cell r="L135">
            <v>399.0300193341767</v>
          </cell>
          <cell r="M135">
            <v>83.035416030875453</v>
          </cell>
          <cell r="N135">
            <v>631.9312348168653</v>
          </cell>
          <cell r="O135">
            <v>140.02489133683275</v>
          </cell>
          <cell r="P135">
            <v>59.151998371433223</v>
          </cell>
          <cell r="Q135">
            <v>59.151998371433223</v>
          </cell>
          <cell r="R135">
            <v>59.151998371433223</v>
          </cell>
          <cell r="S135">
            <v>533.45170881115087</v>
          </cell>
          <cell r="T135">
            <v>59.151998371432612</v>
          </cell>
          <cell r="U135">
            <v>49.941289000658088</v>
          </cell>
          <cell r="V135">
            <v>302.15621935420126</v>
          </cell>
          <cell r="W135">
            <v>0</v>
          </cell>
          <cell r="X135">
            <v>0</v>
          </cell>
          <cell r="Y135">
            <v>0</v>
          </cell>
          <cell r="Z135">
            <v>0</v>
          </cell>
          <cell r="AA135">
            <v>0</v>
          </cell>
          <cell r="AB135">
            <v>0</v>
          </cell>
        </row>
        <row r="159">
          <cell r="E159">
            <v>41.161630733529464</v>
          </cell>
          <cell r="F159">
            <v>137.60093246256912</v>
          </cell>
          <cell r="G159">
            <v>146.00773401180979</v>
          </cell>
          <cell r="H159">
            <v>128.78051692444151</v>
          </cell>
          <cell r="I159">
            <v>130.30392710988426</v>
          </cell>
          <cell r="J159">
            <v>113.19076273471882</v>
          </cell>
          <cell r="K159">
            <v>113.01868015141626</v>
          </cell>
          <cell r="L159">
            <v>101.6355799690205</v>
          </cell>
          <cell r="M159">
            <v>99.220692549242031</v>
          </cell>
          <cell r="N159">
            <v>7.8479859989656022</v>
          </cell>
          <cell r="O159">
            <v>9.310710283727655</v>
          </cell>
          <cell r="P159">
            <v>11.096984489478647</v>
          </cell>
          <cell r="Q159">
            <v>13.868638272878167</v>
          </cell>
          <cell r="R159">
            <v>15.414802778834101</v>
          </cell>
          <cell r="S159">
            <v>145.41296363901367</v>
          </cell>
          <cell r="T159">
            <v>51.296277906543651</v>
          </cell>
          <cell r="U159">
            <v>64.415210207152995</v>
          </cell>
          <cell r="V159">
            <v>287.22406969336214</v>
          </cell>
          <cell r="W159">
            <v>76.441316987618933</v>
          </cell>
          <cell r="X159">
            <v>78.714487436932131</v>
          </cell>
          <cell r="Y159">
            <v>434.61375281073845</v>
          </cell>
          <cell r="Z159">
            <v>35.118000000000002</v>
          </cell>
          <cell r="AA159">
            <v>18.396000000000001</v>
          </cell>
          <cell r="AB159">
            <v>8.7959999999999994</v>
          </cell>
        </row>
        <row r="160">
          <cell r="E160">
            <v>169.89339600372088</v>
          </cell>
          <cell r="F160">
            <v>567.94372071128021</v>
          </cell>
          <cell r="G160">
            <v>602.64254190172448</v>
          </cell>
          <cell r="H160">
            <v>531.53772019012467</v>
          </cell>
          <cell r="I160">
            <v>537.82555002823403</v>
          </cell>
          <cell r="J160">
            <v>467.1914774646699</v>
          </cell>
          <cell r="K160">
            <v>466.48121176456613</v>
          </cell>
          <cell r="L160">
            <v>419.49780725473306</v>
          </cell>
          <cell r="M160">
            <v>409.53043187622006</v>
          </cell>
          <cell r="N160">
            <v>32.392326771150557</v>
          </cell>
          <cell r="O160">
            <v>38.429677374777384</v>
          </cell>
          <cell r="P160">
            <v>45.802470570788437</v>
          </cell>
          <cell r="Q160">
            <v>57.242388412156451</v>
          </cell>
          <cell r="R160">
            <v>63.624136025554392</v>
          </cell>
          <cell r="S160">
            <v>600.18764503111981</v>
          </cell>
          <cell r="T160">
            <v>211.72384817092174</v>
          </cell>
          <cell r="U160">
            <v>265.87184767371775</v>
          </cell>
          <cell r="V160">
            <v>1185.5087309372616</v>
          </cell>
          <cell r="W160">
            <v>315.5092426268875</v>
          </cell>
          <cell r="X160">
            <v>324.8916854613143</v>
          </cell>
          <cell r="Y160">
            <v>1793.8552263137385</v>
          </cell>
          <cell r="Z160">
            <v>144.94849146000001</v>
          </cell>
          <cell r="AA160">
            <v>75.928938120000012</v>
          </cell>
          <cell r="AB160">
            <v>36.30522612</v>
          </cell>
        </row>
      </sheetData>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dendos"/>
    </sheetNames>
    <sheetDataSet>
      <sheetData sheetId="0">
        <row r="10">
          <cell r="D10">
            <v>78851.547697920003</v>
          </cell>
          <cell r="E10">
            <v>99053.963671999998</v>
          </cell>
          <cell r="F10">
            <v>135781.84656100001</v>
          </cell>
          <cell r="G10">
            <v>170616.69114169001</v>
          </cell>
          <cell r="H10">
            <v>146811.89536550001</v>
          </cell>
          <cell r="I10">
            <v>242020.42860462307</v>
          </cell>
        </row>
        <row r="11">
          <cell r="D11">
            <v>7055.9473674999999</v>
          </cell>
          <cell r="E11">
            <v>12086.495009</v>
          </cell>
          <cell r="F11">
            <v>6041.7694629999996</v>
          </cell>
          <cell r="G11">
            <v>7981.3869631499992</v>
          </cell>
          <cell r="H11">
            <v>9283.7395854799997</v>
          </cell>
          <cell r="I11">
            <v>2329.1972684439738</v>
          </cell>
        </row>
        <row r="12">
          <cell r="D12">
            <v>21265.532396999999</v>
          </cell>
          <cell r="E12">
            <v>21978.812180000001</v>
          </cell>
          <cell r="F12">
            <v>23829.360186000002</v>
          </cell>
          <cell r="G12">
            <v>29647.467782</v>
          </cell>
          <cell r="H12">
            <v>26481.168276</v>
          </cell>
          <cell r="I12">
            <v>34282.706503000001</v>
          </cell>
        </row>
        <row r="13">
          <cell r="D13">
            <v>702.6751392000001</v>
          </cell>
          <cell r="E13">
            <v>1557.0854939999999</v>
          </cell>
          <cell r="F13">
            <v>465</v>
          </cell>
          <cell r="G13">
            <v>750</v>
          </cell>
          <cell r="H13">
            <v>613.07515100000001</v>
          </cell>
          <cell r="I13">
            <v>259.41804319199997</v>
          </cell>
        </row>
        <row r="17">
          <cell r="D17">
            <v>8322.3125333500011</v>
          </cell>
          <cell r="E17">
            <v>7193.5210747499996</v>
          </cell>
          <cell r="F17">
            <v>9452.8463776000008</v>
          </cell>
          <cell r="G17">
            <v>47983.215443139998</v>
          </cell>
          <cell r="H17">
            <v>9705.8868289999991</v>
          </cell>
          <cell r="I17">
            <v>4931.5423982399998</v>
          </cell>
        </row>
        <row r="18">
          <cell r="D18">
            <v>34950.36</v>
          </cell>
          <cell r="E18">
            <v>48526.724999999999</v>
          </cell>
          <cell r="F18">
            <v>55840.5</v>
          </cell>
          <cell r="G18">
            <v>81644.284842530004</v>
          </cell>
          <cell r="H18">
            <v>108603.41851702001</v>
          </cell>
          <cell r="I18">
            <v>63287.10567583231</v>
          </cell>
        </row>
        <row r="19">
          <cell r="D19">
            <v>7967.5199805299999</v>
          </cell>
          <cell r="E19">
            <v>7826.9033983999998</v>
          </cell>
          <cell r="F19">
            <v>10403.445011</v>
          </cell>
          <cell r="G19">
            <v>17637.024750880002</v>
          </cell>
          <cell r="H19">
            <v>0</v>
          </cell>
          <cell r="I19">
            <v>12698.428648360927</v>
          </cell>
        </row>
        <row r="20">
          <cell r="D20">
            <v>0</v>
          </cell>
          <cell r="E20">
            <v>111221.75999999999</v>
          </cell>
          <cell r="F20">
            <v>120987.75</v>
          </cell>
          <cell r="G20">
            <v>151338.72</v>
          </cell>
          <cell r="H20">
            <v>256574.67</v>
          </cell>
          <cell r="I20">
            <v>45848.04</v>
          </cell>
        </row>
        <row r="21">
          <cell r="D21">
            <v>2879.3759279999999</v>
          </cell>
          <cell r="E21">
            <v>8549.504379</v>
          </cell>
          <cell r="F21">
            <v>4778.2111064999999</v>
          </cell>
          <cell r="G21">
            <v>12381.39003255</v>
          </cell>
          <cell r="H21">
            <v>0</v>
          </cell>
          <cell r="I21">
            <v>0</v>
          </cell>
        </row>
        <row r="22">
          <cell r="D22">
            <v>2293.33840616</v>
          </cell>
          <cell r="E22">
            <v>2365.3841248799999</v>
          </cell>
          <cell r="F22">
            <v>2890.2296939399998</v>
          </cell>
          <cell r="G22">
            <v>3578.1572996599998</v>
          </cell>
          <cell r="H22">
            <v>3350.24473266</v>
          </cell>
          <cell r="I22">
            <v>1763.0723230000001</v>
          </cell>
        </row>
        <row r="23">
          <cell r="D23">
            <v>0</v>
          </cell>
          <cell r="E23">
            <v>2719.3969699999998</v>
          </cell>
          <cell r="F23">
            <v>0</v>
          </cell>
          <cell r="G23">
            <v>0</v>
          </cell>
          <cell r="H23">
            <v>53833.514428930001</v>
          </cell>
          <cell r="I23">
            <v>0</v>
          </cell>
        </row>
        <row r="24">
          <cell r="D24">
            <v>0</v>
          </cell>
          <cell r="E24">
            <v>0</v>
          </cell>
          <cell r="F24">
            <v>275414.48725000001</v>
          </cell>
          <cell r="G24">
            <v>172754.18018920001</v>
          </cell>
          <cell r="H24">
            <v>433972.92097229999</v>
          </cell>
          <cell r="I24">
            <v>239800.079654</v>
          </cell>
        </row>
        <row r="25">
          <cell r="D25">
            <v>0</v>
          </cell>
          <cell r="E25">
            <v>0</v>
          </cell>
          <cell r="F25">
            <v>0</v>
          </cell>
          <cell r="G25">
            <v>71698.663217179987</v>
          </cell>
          <cell r="H25">
            <v>85724.768589929998</v>
          </cell>
          <cell r="I25">
            <v>190500.85167229918</v>
          </cell>
        </row>
        <row r="36">
          <cell r="D36">
            <v>434209.73444799997</v>
          </cell>
          <cell r="E36">
            <v>600361.41854800005</v>
          </cell>
          <cell r="F36">
            <v>611438.19748800003</v>
          </cell>
          <cell r="G36">
            <v>747682.57845000003</v>
          </cell>
          <cell r="H36">
            <v>1443303.9883739999</v>
          </cell>
        </row>
        <row r="37">
          <cell r="D37">
            <v>392</v>
          </cell>
          <cell r="E37">
            <v>542</v>
          </cell>
          <cell r="F37">
            <v>552</v>
          </cell>
          <cell r="G37">
            <v>675</v>
          </cell>
          <cell r="H37">
            <v>1303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A(E)"/>
      <sheetName val="ISA(E)"/>
    </sheetNames>
    <sheetDataSet>
      <sheetData sheetId="0">
        <row r="8">
          <cell r="K8">
            <v>1208</v>
          </cell>
        </row>
        <row r="9">
          <cell r="K9">
            <v>1355</v>
          </cell>
        </row>
        <row r="10">
          <cell r="K10">
            <v>-147</v>
          </cell>
        </row>
        <row r="12">
          <cell r="K12">
            <v>11533</v>
          </cell>
        </row>
        <row r="13">
          <cell r="K13">
            <v>57533</v>
          </cell>
        </row>
        <row r="14">
          <cell r="K14">
            <v>0</v>
          </cell>
        </row>
        <row r="15">
          <cell r="K15">
            <v>11830</v>
          </cell>
        </row>
        <row r="16">
          <cell r="K16">
            <v>1132</v>
          </cell>
        </row>
        <row r="17">
          <cell r="K17">
            <v>56104</v>
          </cell>
        </row>
        <row r="20">
          <cell r="K20">
            <v>0</v>
          </cell>
        </row>
        <row r="21">
          <cell r="K21">
            <v>40</v>
          </cell>
        </row>
        <row r="22">
          <cell r="K22">
            <v>55997</v>
          </cell>
        </row>
        <row r="24">
          <cell r="K24">
            <v>-66066</v>
          </cell>
        </row>
        <row r="25">
          <cell r="K25">
            <v>-10069</v>
          </cell>
        </row>
        <row r="27">
          <cell r="K27">
            <v>-11660</v>
          </cell>
        </row>
        <row r="28">
          <cell r="K28">
            <v>3760</v>
          </cell>
        </row>
        <row r="30">
          <cell r="K30">
            <v>56939</v>
          </cell>
        </row>
        <row r="37">
          <cell r="L37">
            <v>339940</v>
          </cell>
        </row>
        <row r="38">
          <cell r="L38">
            <v>3565</v>
          </cell>
        </row>
        <row r="39">
          <cell r="L39">
            <v>0</v>
          </cell>
        </row>
        <row r="40">
          <cell r="L40">
            <v>3384</v>
          </cell>
        </row>
        <row r="41">
          <cell r="L41">
            <v>4032</v>
          </cell>
        </row>
        <row r="42">
          <cell r="L42">
            <v>0</v>
          </cell>
        </row>
        <row r="43">
          <cell r="L43">
            <v>350921</v>
          </cell>
        </row>
        <row r="45">
          <cell r="L45">
            <v>0</v>
          </cell>
        </row>
        <row r="46">
          <cell r="L46">
            <v>0</v>
          </cell>
        </row>
        <row r="47">
          <cell r="L47">
            <v>0</v>
          </cell>
        </row>
        <row r="48">
          <cell r="L48">
            <v>0</v>
          </cell>
        </row>
        <row r="49">
          <cell r="L49">
            <v>2164020</v>
          </cell>
        </row>
        <row r="50">
          <cell r="L50">
            <v>0</v>
          </cell>
        </row>
        <row r="51">
          <cell r="L51">
            <v>0</v>
          </cell>
        </row>
        <row r="52">
          <cell r="L52">
            <v>6758</v>
          </cell>
        </row>
        <row r="53">
          <cell r="L53">
            <v>0</v>
          </cell>
        </row>
        <row r="54">
          <cell r="L54">
            <v>660</v>
          </cell>
        </row>
        <row r="55">
          <cell r="L55">
            <v>0</v>
          </cell>
        </row>
        <row r="56">
          <cell r="L56">
            <v>0</v>
          </cell>
        </row>
        <row r="57">
          <cell r="L57">
            <v>0</v>
          </cell>
        </row>
        <row r="58">
          <cell r="L58">
            <v>0</v>
          </cell>
        </row>
        <row r="59">
          <cell r="L59">
            <v>2171438</v>
          </cell>
        </row>
        <row r="60">
          <cell r="L60">
            <v>2522359</v>
          </cell>
        </row>
        <row r="61">
          <cell r="L61">
            <v>0</v>
          </cell>
        </row>
        <row r="64">
          <cell r="L64">
            <v>110356</v>
          </cell>
        </row>
        <row r="65">
          <cell r="L65">
            <v>0</v>
          </cell>
        </row>
        <row r="66">
          <cell r="L66">
            <v>41952</v>
          </cell>
        </row>
        <row r="67">
          <cell r="L67">
            <v>627</v>
          </cell>
        </row>
        <row r="68">
          <cell r="L68">
            <v>1249</v>
          </cell>
        </row>
        <row r="69">
          <cell r="L69">
            <v>0</v>
          </cell>
        </row>
        <row r="70">
          <cell r="L70">
            <v>46569</v>
          </cell>
        </row>
        <row r="71">
          <cell r="L71">
            <v>0</v>
          </cell>
        </row>
        <row r="72">
          <cell r="L72">
            <v>200753</v>
          </cell>
        </row>
        <row r="74">
          <cell r="L74">
            <v>1521713</v>
          </cell>
        </row>
        <row r="75">
          <cell r="L75">
            <v>0</v>
          </cell>
        </row>
        <row r="76">
          <cell r="L76">
            <v>0</v>
          </cell>
        </row>
        <row r="77">
          <cell r="L77">
            <v>516938</v>
          </cell>
        </row>
        <row r="78">
          <cell r="L78">
            <v>0</v>
          </cell>
        </row>
        <row r="79">
          <cell r="L79">
            <v>3432</v>
          </cell>
        </row>
        <row r="80">
          <cell r="L80">
            <v>12998</v>
          </cell>
        </row>
        <row r="81">
          <cell r="L81">
            <v>88987</v>
          </cell>
        </row>
        <row r="82">
          <cell r="L82">
            <v>2144068</v>
          </cell>
        </row>
        <row r="83">
          <cell r="L83">
            <v>2344821</v>
          </cell>
        </row>
        <row r="84">
          <cell r="L84">
            <v>0</v>
          </cell>
        </row>
        <row r="86">
          <cell r="L86">
            <v>84</v>
          </cell>
        </row>
        <row r="87">
          <cell r="L87">
            <v>0</v>
          </cell>
        </row>
        <row r="88">
          <cell r="L88">
            <v>0</v>
          </cell>
        </row>
        <row r="89">
          <cell r="L89">
            <v>189203</v>
          </cell>
        </row>
        <row r="90">
          <cell r="L90">
            <v>-11746</v>
          </cell>
        </row>
        <row r="91">
          <cell r="L91">
            <v>0</v>
          </cell>
        </row>
        <row r="92">
          <cell r="L92">
            <v>177541</v>
          </cell>
        </row>
        <row r="93">
          <cell r="L93">
            <v>2522362</v>
          </cell>
        </row>
      </sheetData>
      <sheetData sheetId="1">
        <row r="9">
          <cell r="X9">
            <v>359895</v>
          </cell>
        </row>
        <row r="10">
          <cell r="X10">
            <v>37969</v>
          </cell>
        </row>
        <row r="11">
          <cell r="X11">
            <v>838</v>
          </cell>
        </row>
        <row r="12">
          <cell r="X12">
            <v>440</v>
          </cell>
        </row>
        <row r="13">
          <cell r="X13">
            <v>0</v>
          </cell>
        </row>
        <row r="14">
          <cell r="X14">
            <v>2575</v>
          </cell>
        </row>
        <row r="15">
          <cell r="X15">
            <v>40779</v>
          </cell>
        </row>
        <row r="16">
          <cell r="X16">
            <v>50268</v>
          </cell>
        </row>
        <row r="17">
          <cell r="X17">
            <v>310670</v>
          </cell>
        </row>
        <row r="19">
          <cell r="X19">
            <v>509143</v>
          </cell>
        </row>
        <row r="20">
          <cell r="X20">
            <v>2033</v>
          </cell>
        </row>
        <row r="21">
          <cell r="X21">
            <v>821846</v>
          </cell>
        </row>
        <row r="23">
          <cell r="X23">
            <v>-89459</v>
          </cell>
        </row>
        <row r="24">
          <cell r="X24">
            <v>732387</v>
          </cell>
        </row>
        <row r="26">
          <cell r="X26">
            <v>64257</v>
          </cell>
        </row>
        <row r="27">
          <cell r="X27">
            <v>668130</v>
          </cell>
        </row>
        <row r="29">
          <cell r="X29">
            <v>873044</v>
          </cell>
        </row>
        <row r="37">
          <cell r="Y37">
            <v>1081699</v>
          </cell>
        </row>
        <row r="38">
          <cell r="Y38">
            <v>185590</v>
          </cell>
        </row>
        <row r="39">
          <cell r="Y39">
            <v>89043</v>
          </cell>
        </row>
        <row r="40">
          <cell r="Y40">
            <v>19603</v>
          </cell>
        </row>
        <row r="41">
          <cell r="Y41">
            <v>0</v>
          </cell>
        </row>
        <row r="42">
          <cell r="Y42">
            <v>1375935</v>
          </cell>
        </row>
        <row r="44">
          <cell r="Y44">
            <v>10279</v>
          </cell>
        </row>
        <row r="45">
          <cell r="Y45">
            <v>13568</v>
          </cell>
        </row>
        <row r="46">
          <cell r="Y46">
            <v>13322971</v>
          </cell>
        </row>
        <row r="47">
          <cell r="Y47">
            <v>13953</v>
          </cell>
        </row>
        <row r="48">
          <cell r="Y48">
            <v>22508</v>
          </cell>
        </row>
        <row r="49">
          <cell r="Y49">
            <v>0</v>
          </cell>
        </row>
        <row r="50">
          <cell r="Y50">
            <v>7564105</v>
          </cell>
        </row>
        <row r="51">
          <cell r="Y51">
            <v>7630</v>
          </cell>
        </row>
        <row r="52">
          <cell r="Y52">
            <v>212904</v>
          </cell>
        </row>
        <row r="53">
          <cell r="Y53">
            <v>750</v>
          </cell>
        </row>
        <row r="54">
          <cell r="Y54">
            <v>0</v>
          </cell>
        </row>
        <row r="55">
          <cell r="Y55">
            <v>0</v>
          </cell>
        </row>
        <row r="56">
          <cell r="Y56">
            <v>0</v>
          </cell>
        </row>
        <row r="57">
          <cell r="Y57">
            <v>21168668</v>
          </cell>
        </row>
        <row r="58">
          <cell r="Y58">
            <v>22544603</v>
          </cell>
        </row>
        <row r="59">
          <cell r="Y59">
            <v>0</v>
          </cell>
        </row>
        <row r="62">
          <cell r="Y62">
            <v>63954</v>
          </cell>
        </row>
        <row r="63">
          <cell r="Y63">
            <v>983023</v>
          </cell>
        </row>
        <row r="64">
          <cell r="Y64">
            <v>10083</v>
          </cell>
        </row>
        <row r="65">
          <cell r="Y65">
            <v>102113</v>
          </cell>
        </row>
        <row r="66">
          <cell r="Y66">
            <v>1009</v>
          </cell>
        </row>
        <row r="67">
          <cell r="Y67">
            <v>2890</v>
          </cell>
        </row>
        <row r="68">
          <cell r="Y68">
            <v>0</v>
          </cell>
        </row>
        <row r="69">
          <cell r="Y69">
            <v>1163072</v>
          </cell>
        </row>
        <row r="71">
          <cell r="Y71">
            <v>4679704</v>
          </cell>
        </row>
        <row r="72">
          <cell r="Y72">
            <v>264364</v>
          </cell>
        </row>
        <row r="73">
          <cell r="Y73">
            <v>0</v>
          </cell>
        </row>
        <row r="74">
          <cell r="Y74">
            <v>201969</v>
          </cell>
        </row>
        <row r="75">
          <cell r="Y75">
            <v>20851</v>
          </cell>
        </row>
        <row r="76">
          <cell r="Y76">
            <v>121705</v>
          </cell>
        </row>
        <row r="77">
          <cell r="Y77">
            <v>1056396</v>
          </cell>
        </row>
        <row r="78">
          <cell r="Y78">
            <v>6344989</v>
          </cell>
        </row>
        <row r="79">
          <cell r="Y79">
            <v>7508061</v>
          </cell>
        </row>
        <row r="80">
          <cell r="Y80">
            <v>0</v>
          </cell>
        </row>
        <row r="82">
          <cell r="Y82">
            <v>36916</v>
          </cell>
        </row>
        <row r="83">
          <cell r="Y83">
            <v>1428128</v>
          </cell>
        </row>
        <row r="84">
          <cell r="Y84">
            <v>7690798</v>
          </cell>
        </row>
        <row r="85">
          <cell r="Y85">
            <v>3236320</v>
          </cell>
        </row>
        <row r="86">
          <cell r="Y86">
            <v>1097275</v>
          </cell>
        </row>
        <row r="87">
          <cell r="Y87">
            <v>1547105</v>
          </cell>
        </row>
        <row r="88">
          <cell r="Y88">
            <v>15036542</v>
          </cell>
        </row>
        <row r="89">
          <cell r="Y89">
            <v>22544603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FF_Consolidados"/>
    </sheetNames>
    <sheetDataSet>
      <sheetData sheetId="0">
        <row r="9">
          <cell r="X9">
            <v>688018</v>
          </cell>
        </row>
        <row r="10">
          <cell r="X10">
            <v>634626</v>
          </cell>
        </row>
        <row r="11">
          <cell r="X11">
            <v>53392</v>
          </cell>
        </row>
        <row r="13">
          <cell r="X13">
            <v>1917102</v>
          </cell>
        </row>
        <row r="14">
          <cell r="X14">
            <v>134902</v>
          </cell>
        </row>
        <row r="15">
          <cell r="X15">
            <v>374181</v>
          </cell>
        </row>
        <row r="16">
          <cell r="X16">
            <v>0</v>
          </cell>
        </row>
        <row r="17">
          <cell r="X17">
            <v>0</v>
          </cell>
        </row>
        <row r="18">
          <cell r="X18">
            <v>111991</v>
          </cell>
        </row>
        <row r="19">
          <cell r="X19">
            <v>29765</v>
          </cell>
        </row>
        <row r="20">
          <cell r="X20">
            <v>580392</v>
          </cell>
        </row>
        <row r="21">
          <cell r="X21">
            <v>269972</v>
          </cell>
        </row>
        <row r="22">
          <cell r="X22">
            <v>1717577</v>
          </cell>
        </row>
        <row r="25">
          <cell r="X25">
            <v>176973</v>
          </cell>
        </row>
        <row r="26">
          <cell r="X26">
            <v>13305</v>
          </cell>
        </row>
        <row r="27">
          <cell r="X27">
            <v>1961247</v>
          </cell>
        </row>
        <row r="29">
          <cell r="X29">
            <v>-703241</v>
          </cell>
        </row>
        <row r="30">
          <cell r="X30">
            <v>1258006</v>
          </cell>
        </row>
        <row r="32">
          <cell r="X32">
            <v>80121</v>
          </cell>
        </row>
        <row r="33">
          <cell r="X33">
            <v>1177885</v>
          </cell>
        </row>
        <row r="35">
          <cell r="X35">
            <v>507468</v>
          </cell>
        </row>
        <row r="36">
          <cell r="X36">
            <v>670417</v>
          </cell>
        </row>
        <row r="39">
          <cell r="X39">
            <v>2226468</v>
          </cell>
        </row>
        <row r="50">
          <cell r="X50">
            <v>4766464</v>
          </cell>
        </row>
        <row r="51">
          <cell r="X51">
            <v>5857522</v>
          </cell>
        </row>
        <row r="52">
          <cell r="X52">
            <v>337760</v>
          </cell>
        </row>
        <row r="53">
          <cell r="X53">
            <v>141514</v>
          </cell>
        </row>
        <row r="54">
          <cell r="X54">
            <v>371061</v>
          </cell>
        </row>
        <row r="55">
          <cell r="X55">
            <v>114</v>
          </cell>
        </row>
        <row r="56">
          <cell r="X56">
            <v>11474435</v>
          </cell>
        </row>
        <row r="58">
          <cell r="X58">
            <v>217813</v>
          </cell>
        </row>
        <row r="59">
          <cell r="X59">
            <v>13707</v>
          </cell>
        </row>
        <row r="60">
          <cell r="X60">
            <v>4401210</v>
          </cell>
        </row>
        <row r="61">
          <cell r="X61">
            <v>19062</v>
          </cell>
        </row>
        <row r="62">
          <cell r="X62">
            <v>25621538</v>
          </cell>
        </row>
        <row r="63">
          <cell r="X63">
            <v>70677</v>
          </cell>
        </row>
        <row r="64">
          <cell r="X64">
            <v>13287418</v>
          </cell>
        </row>
        <row r="65">
          <cell r="X65">
            <v>0</v>
          </cell>
        </row>
        <row r="66">
          <cell r="X66">
            <v>0</v>
          </cell>
        </row>
        <row r="67">
          <cell r="X67">
            <v>10646635</v>
          </cell>
        </row>
        <row r="68">
          <cell r="X68">
            <v>144969</v>
          </cell>
        </row>
        <row r="69">
          <cell r="X69">
            <v>292548</v>
          </cell>
        </row>
        <row r="70">
          <cell r="X70">
            <v>0</v>
          </cell>
        </row>
        <row r="71">
          <cell r="X71">
            <v>0</v>
          </cell>
        </row>
        <row r="72">
          <cell r="X72">
            <v>335</v>
          </cell>
        </row>
        <row r="73">
          <cell r="X73">
            <v>54715912</v>
          </cell>
        </row>
        <row r="74">
          <cell r="X74">
            <v>66190347</v>
          </cell>
        </row>
        <row r="78">
          <cell r="X78">
            <v>2034435</v>
          </cell>
        </row>
        <row r="79">
          <cell r="X79">
            <v>1755325</v>
          </cell>
        </row>
        <row r="80">
          <cell r="X80">
            <v>0</v>
          </cell>
        </row>
        <row r="81">
          <cell r="X81">
            <v>128620</v>
          </cell>
        </row>
        <row r="82">
          <cell r="X82">
            <v>392333</v>
          </cell>
        </row>
        <row r="83">
          <cell r="X83">
            <v>150927</v>
          </cell>
        </row>
        <row r="84">
          <cell r="X84">
            <v>360425</v>
          </cell>
        </row>
        <row r="85">
          <cell r="X85">
            <v>0</v>
          </cell>
        </row>
        <row r="86">
          <cell r="X86">
            <v>4822065</v>
          </cell>
        </row>
        <row r="88">
          <cell r="X88">
            <v>26868430</v>
          </cell>
        </row>
        <row r="89">
          <cell r="X89">
            <v>221758</v>
          </cell>
        </row>
        <row r="90">
          <cell r="X90">
            <v>0</v>
          </cell>
        </row>
        <row r="91">
          <cell r="X91">
            <v>1428158</v>
          </cell>
        </row>
        <row r="92">
          <cell r="X92">
            <v>837564</v>
          </cell>
        </row>
        <row r="93">
          <cell r="X93">
            <v>359333</v>
          </cell>
        </row>
        <row r="94">
          <cell r="X94">
            <v>1316542</v>
          </cell>
        </row>
        <row r="95">
          <cell r="X95">
            <v>6052354</v>
          </cell>
        </row>
        <row r="96">
          <cell r="X96">
            <v>37084139</v>
          </cell>
        </row>
        <row r="97">
          <cell r="X97">
            <v>41906204</v>
          </cell>
        </row>
        <row r="100">
          <cell r="X100">
            <v>36916</v>
          </cell>
        </row>
        <row r="101">
          <cell r="X101">
            <v>1428128</v>
          </cell>
        </row>
        <row r="102">
          <cell r="X102">
            <v>7690798</v>
          </cell>
        </row>
        <row r="103">
          <cell r="X103">
            <v>3210907</v>
          </cell>
        </row>
        <row r="104">
          <cell r="X104">
            <v>1101797</v>
          </cell>
        </row>
        <row r="105">
          <cell r="X105">
            <v>1547106</v>
          </cell>
        </row>
        <row r="106">
          <cell r="X106">
            <v>15015652</v>
          </cell>
        </row>
        <row r="107">
          <cell r="X107">
            <v>9268491</v>
          </cell>
        </row>
        <row r="108">
          <cell r="X108">
            <v>24284143</v>
          </cell>
        </row>
        <row r="109">
          <cell r="X109">
            <v>66190347</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FF_TE_Chi (Final)"/>
    </sheetNames>
    <sheetDataSet>
      <sheetData sheetId="0">
        <row r="9">
          <cell r="X9">
            <v>24</v>
          </cell>
        </row>
        <row r="12">
          <cell r="X12">
            <v>4</v>
          </cell>
        </row>
        <row r="13">
          <cell r="X13">
            <v>8</v>
          </cell>
        </row>
        <row r="14">
          <cell r="X14">
            <v>12</v>
          </cell>
        </row>
        <row r="18">
          <cell r="X18">
            <v>12</v>
          </cell>
        </row>
        <row r="20">
          <cell r="X20">
            <v>-19</v>
          </cell>
        </row>
        <row r="21">
          <cell r="X21">
            <v>-7</v>
          </cell>
        </row>
        <row r="23">
          <cell r="X23">
            <v>-2</v>
          </cell>
        </row>
        <row r="24">
          <cell r="X24">
            <v>-5</v>
          </cell>
        </row>
        <row r="26">
          <cell r="X26">
            <v>19</v>
          </cell>
        </row>
        <row r="30">
          <cell r="X30" t="str">
            <v>2T22</v>
          </cell>
        </row>
        <row r="33">
          <cell r="X33">
            <v>307</v>
          </cell>
        </row>
        <row r="34">
          <cell r="X34">
            <v>1</v>
          </cell>
        </row>
        <row r="35">
          <cell r="X35">
            <v>0</v>
          </cell>
        </row>
        <row r="36">
          <cell r="X36">
            <v>0</v>
          </cell>
        </row>
        <row r="37">
          <cell r="X37">
            <v>0</v>
          </cell>
        </row>
        <row r="38">
          <cell r="X38">
            <v>0</v>
          </cell>
        </row>
        <row r="39">
          <cell r="X39">
            <v>308</v>
          </cell>
        </row>
        <row r="41">
          <cell r="X41">
            <v>43</v>
          </cell>
        </row>
        <row r="42">
          <cell r="X42">
            <v>0</v>
          </cell>
        </row>
        <row r="43">
          <cell r="X43">
            <v>0</v>
          </cell>
        </row>
        <row r="44">
          <cell r="X44">
            <v>0</v>
          </cell>
        </row>
        <row r="45">
          <cell r="X45">
            <v>10</v>
          </cell>
        </row>
        <row r="46">
          <cell r="X46">
            <v>0</v>
          </cell>
        </row>
        <row r="47">
          <cell r="X47">
            <v>1018</v>
          </cell>
        </row>
        <row r="48">
          <cell r="X48">
            <v>0</v>
          </cell>
        </row>
        <row r="49">
          <cell r="X49">
            <v>110</v>
          </cell>
        </row>
        <row r="50">
          <cell r="X50">
            <v>1</v>
          </cell>
        </row>
        <row r="51">
          <cell r="X51">
            <v>36</v>
          </cell>
        </row>
        <row r="52">
          <cell r="X52">
            <v>0</v>
          </cell>
        </row>
        <row r="53">
          <cell r="X53">
            <v>0</v>
          </cell>
        </row>
        <row r="54">
          <cell r="X54">
            <v>1218</v>
          </cell>
        </row>
        <row r="55">
          <cell r="X55">
            <v>1526</v>
          </cell>
        </row>
        <row r="59">
          <cell r="X59">
            <v>0</v>
          </cell>
        </row>
        <row r="60">
          <cell r="X60">
            <v>10</v>
          </cell>
        </row>
        <row r="61">
          <cell r="X61">
            <v>0</v>
          </cell>
        </row>
        <row r="62">
          <cell r="X62">
            <v>3</v>
          </cell>
        </row>
        <row r="63">
          <cell r="X63">
            <v>12</v>
          </cell>
        </row>
        <row r="64">
          <cell r="X64">
            <v>0</v>
          </cell>
        </row>
        <row r="65">
          <cell r="X65">
            <v>0</v>
          </cell>
        </row>
        <row r="66">
          <cell r="X66">
            <v>0</v>
          </cell>
        </row>
        <row r="67">
          <cell r="X67">
            <v>25</v>
          </cell>
        </row>
        <row r="69">
          <cell r="X69">
            <v>1185</v>
          </cell>
        </row>
        <row r="70">
          <cell r="X70">
            <v>6</v>
          </cell>
        </row>
        <row r="71">
          <cell r="X71">
            <v>0</v>
          </cell>
        </row>
        <row r="72">
          <cell r="X72">
            <v>0</v>
          </cell>
        </row>
        <row r="73">
          <cell r="X73">
            <v>0</v>
          </cell>
        </row>
        <row r="74">
          <cell r="X74">
            <v>0</v>
          </cell>
        </row>
        <row r="75">
          <cell r="X75">
            <v>0</v>
          </cell>
        </row>
        <row r="76">
          <cell r="X76">
            <v>1191</v>
          </cell>
        </row>
        <row r="77">
          <cell r="X77">
            <v>1216</v>
          </cell>
        </row>
        <row r="80">
          <cell r="X80">
            <v>370</v>
          </cell>
        </row>
        <row r="81">
          <cell r="X81">
            <v>0</v>
          </cell>
        </row>
        <row r="82">
          <cell r="X82">
            <v>0</v>
          </cell>
        </row>
        <row r="83">
          <cell r="X83">
            <v>-55</v>
          </cell>
        </row>
        <row r="84">
          <cell r="X84">
            <v>-5</v>
          </cell>
        </row>
        <row r="85">
          <cell r="X85">
            <v>0</v>
          </cell>
        </row>
        <row r="86">
          <cell r="X86">
            <v>310</v>
          </cell>
        </row>
        <row r="87">
          <cell r="X87">
            <v>1526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 val="Colombia 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cell r="F3"/>
          <cell r="G3"/>
          <cell r="H3"/>
          <cell r="I3"/>
          <cell r="J3"/>
          <cell r="K3"/>
          <cell r="L3"/>
          <cell r="M3"/>
          <cell r="N3"/>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cell r="F5"/>
          <cell r="G5"/>
          <cell r="H5"/>
          <cell r="I5"/>
          <cell r="J5"/>
          <cell r="K5"/>
          <cell r="L5"/>
          <cell r="M5"/>
          <cell r="N5"/>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cell r="F7"/>
          <cell r="G7"/>
          <cell r="H7"/>
          <cell r="I7"/>
          <cell r="J7"/>
          <cell r="K7"/>
          <cell r="L7"/>
          <cell r="M7"/>
          <cell r="N7"/>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cell r="F9"/>
          <cell r="G9"/>
          <cell r="H9"/>
          <cell r="I9"/>
          <cell r="J9"/>
          <cell r="K9"/>
          <cell r="L9"/>
          <cell r="M9"/>
          <cell r="N9"/>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cell r="F11"/>
          <cell r="G11"/>
          <cell r="H11"/>
          <cell r="I11"/>
          <cell r="J11"/>
          <cell r="K11"/>
          <cell r="L11"/>
          <cell r="M11"/>
          <cell r="N11"/>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cell r="F13"/>
          <cell r="G13"/>
          <cell r="H13"/>
          <cell r="I13"/>
          <cell r="J13"/>
          <cell r="K13"/>
          <cell r="L13"/>
          <cell r="M13"/>
          <cell r="N13"/>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cell r="F19"/>
          <cell r="G19"/>
          <cell r="H19"/>
          <cell r="I19"/>
          <cell r="J19"/>
          <cell r="K19"/>
          <cell r="L19"/>
          <cell r="M19"/>
          <cell r="N19"/>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cell r="F21"/>
          <cell r="G21"/>
          <cell r="H21"/>
          <cell r="I21"/>
          <cell r="J21"/>
          <cell r="K21"/>
          <cell r="L21"/>
          <cell r="M21"/>
          <cell r="N21"/>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cell r="F23"/>
          <cell r="G23"/>
          <cell r="H23"/>
          <cell r="I23"/>
          <cell r="J23"/>
          <cell r="K23"/>
          <cell r="L23"/>
          <cell r="M23"/>
          <cell r="N23"/>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cell r="F25"/>
          <cell r="G25"/>
          <cell r="H25"/>
          <cell r="I25"/>
          <cell r="J25"/>
          <cell r="K25"/>
          <cell r="L25"/>
          <cell r="M25"/>
          <cell r="N25"/>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cell r="F27"/>
          <cell r="G27"/>
          <cell r="H27"/>
          <cell r="I27"/>
          <cell r="J27"/>
          <cell r="K27"/>
          <cell r="L27"/>
          <cell r="M27"/>
          <cell r="N27"/>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cell r="F29"/>
          <cell r="G29"/>
          <cell r="H29"/>
          <cell r="I29"/>
          <cell r="J29"/>
          <cell r="K29"/>
          <cell r="L29"/>
          <cell r="M29"/>
          <cell r="N29"/>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cell r="F34"/>
          <cell r="G34"/>
          <cell r="H34"/>
          <cell r="I34"/>
          <cell r="J34"/>
          <cell r="K34"/>
          <cell r="L34"/>
          <cell r="M34"/>
          <cell r="N34"/>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cell r="F36"/>
          <cell r="G36"/>
          <cell r="H36"/>
          <cell r="I36"/>
          <cell r="J36"/>
          <cell r="K36"/>
          <cell r="L36"/>
          <cell r="M36"/>
          <cell r="N36"/>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cell r="F38"/>
          <cell r="G38"/>
          <cell r="H38"/>
          <cell r="I38"/>
          <cell r="J38"/>
          <cell r="K38"/>
          <cell r="L38"/>
          <cell r="M38"/>
          <cell r="N38"/>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cell r="F40"/>
          <cell r="G40"/>
          <cell r="H40"/>
          <cell r="I40"/>
          <cell r="J40"/>
          <cell r="K40"/>
          <cell r="L40"/>
          <cell r="M40"/>
          <cell r="N40"/>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cell r="F42"/>
          <cell r="G42"/>
          <cell r="H42"/>
          <cell r="I42"/>
          <cell r="J42"/>
          <cell r="K42"/>
          <cell r="L42"/>
          <cell r="M42"/>
          <cell r="N42"/>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cell r="F44"/>
          <cell r="G44"/>
          <cell r="H44"/>
          <cell r="I44"/>
          <cell r="J44"/>
          <cell r="K44"/>
          <cell r="L44"/>
          <cell r="M44"/>
          <cell r="N44"/>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cell r="F50"/>
          <cell r="G50"/>
          <cell r="H50"/>
          <cell r="I50"/>
          <cell r="J50"/>
          <cell r="K50"/>
          <cell r="L50"/>
          <cell r="M50"/>
          <cell r="N50"/>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cell r="F52"/>
          <cell r="G52"/>
          <cell r="H52"/>
          <cell r="I52"/>
          <cell r="J52"/>
          <cell r="K52"/>
          <cell r="L52"/>
          <cell r="M52"/>
          <cell r="N52"/>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cell r="F54"/>
          <cell r="G54"/>
          <cell r="H54"/>
          <cell r="I54"/>
          <cell r="J54"/>
          <cell r="K54"/>
          <cell r="L54"/>
          <cell r="M54"/>
          <cell r="N54"/>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cell r="F56"/>
          <cell r="G56"/>
          <cell r="H56"/>
          <cell r="I56"/>
          <cell r="J56"/>
          <cell r="K56"/>
          <cell r="L56"/>
          <cell r="M56"/>
          <cell r="N56"/>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cell r="F58"/>
          <cell r="G58"/>
          <cell r="H58"/>
          <cell r="I58"/>
          <cell r="J58"/>
          <cell r="K58"/>
          <cell r="L58"/>
          <cell r="M58"/>
          <cell r="N58"/>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cell r="F60"/>
          <cell r="G60"/>
          <cell r="H60"/>
          <cell r="I60"/>
          <cell r="J60"/>
          <cell r="K60"/>
          <cell r="L60"/>
          <cell r="M60"/>
          <cell r="N60"/>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cell r="F65"/>
          <cell r="G65"/>
          <cell r="H65"/>
          <cell r="I65"/>
          <cell r="J65"/>
          <cell r="K65"/>
          <cell r="L65"/>
          <cell r="M65"/>
          <cell r="N65"/>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cell r="F67"/>
          <cell r="G67"/>
          <cell r="H67"/>
          <cell r="I67"/>
          <cell r="J67"/>
          <cell r="K67"/>
          <cell r="L67"/>
          <cell r="M67"/>
          <cell r="N67"/>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cell r="F69"/>
          <cell r="G69"/>
          <cell r="H69"/>
          <cell r="I69"/>
          <cell r="J69"/>
          <cell r="K69"/>
          <cell r="L69"/>
          <cell r="M69"/>
          <cell r="N69"/>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cell r="F71"/>
          <cell r="G71"/>
          <cell r="H71"/>
          <cell r="I71"/>
          <cell r="J71"/>
          <cell r="K71"/>
          <cell r="L71"/>
          <cell r="M71"/>
          <cell r="N71"/>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cell r="F73"/>
          <cell r="G73"/>
          <cell r="H73"/>
          <cell r="I73"/>
          <cell r="J73"/>
          <cell r="K73"/>
          <cell r="L73"/>
          <cell r="M73"/>
          <cell r="N73"/>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cell r="F75"/>
          <cell r="G75"/>
          <cell r="H75"/>
          <cell r="I75"/>
          <cell r="J75"/>
          <cell r="K75"/>
          <cell r="L75"/>
          <cell r="M75"/>
          <cell r="N75"/>
          <cell r="O75">
            <v>252.14499999999998</v>
          </cell>
        </row>
        <row r="79">
          <cell r="C79"/>
          <cell r="D79"/>
          <cell r="E79"/>
          <cell r="F79"/>
          <cell r="G79"/>
          <cell r="H79"/>
          <cell r="I79"/>
          <cell r="J79"/>
          <cell r="K79"/>
          <cell r="L79"/>
          <cell r="M79"/>
          <cell r="N79"/>
          <cell r="O79"/>
        </row>
        <row r="80">
          <cell r="C80">
            <v>836</v>
          </cell>
          <cell r="D80">
            <v>575</v>
          </cell>
          <cell r="E80"/>
          <cell r="F80"/>
          <cell r="G80"/>
          <cell r="H80"/>
          <cell r="I80"/>
          <cell r="J80"/>
          <cell r="K80"/>
          <cell r="L80"/>
          <cell r="M80"/>
          <cell r="N80"/>
          <cell r="O80">
            <v>1411</v>
          </cell>
        </row>
        <row r="81">
          <cell r="C81"/>
          <cell r="D81"/>
          <cell r="E81"/>
          <cell r="F81"/>
          <cell r="G81"/>
          <cell r="H81"/>
          <cell r="I81"/>
          <cell r="J81"/>
          <cell r="K81"/>
          <cell r="L81"/>
          <cell r="M81"/>
          <cell r="N81"/>
          <cell r="O81"/>
        </row>
        <row r="82">
          <cell r="C82">
            <v>421</v>
          </cell>
          <cell r="D82">
            <v>486</v>
          </cell>
          <cell r="E82"/>
          <cell r="F82"/>
          <cell r="G82"/>
          <cell r="H82"/>
          <cell r="I82"/>
          <cell r="J82"/>
          <cell r="K82"/>
          <cell r="L82"/>
          <cell r="M82"/>
          <cell r="N82"/>
          <cell r="O82">
            <v>907</v>
          </cell>
        </row>
        <row r="83">
          <cell r="C83"/>
          <cell r="D83"/>
          <cell r="E83"/>
          <cell r="F83"/>
          <cell r="G83"/>
          <cell r="H83"/>
          <cell r="I83"/>
          <cell r="J83"/>
          <cell r="K83"/>
          <cell r="L83"/>
          <cell r="M83"/>
          <cell r="N83"/>
          <cell r="O83"/>
        </row>
        <row r="84">
          <cell r="C84">
            <v>865</v>
          </cell>
          <cell r="D84">
            <v>775</v>
          </cell>
          <cell r="E84"/>
          <cell r="F84"/>
          <cell r="G84"/>
          <cell r="H84"/>
          <cell r="I84"/>
          <cell r="J84"/>
          <cell r="K84"/>
          <cell r="L84"/>
          <cell r="M84"/>
          <cell r="N84"/>
          <cell r="O84">
            <v>1640</v>
          </cell>
        </row>
        <row r="85">
          <cell r="C85"/>
          <cell r="D85"/>
          <cell r="E85"/>
          <cell r="F85"/>
          <cell r="G85"/>
          <cell r="H85"/>
          <cell r="I85"/>
          <cell r="J85"/>
          <cell r="K85"/>
          <cell r="L85"/>
          <cell r="M85"/>
          <cell r="N85"/>
          <cell r="O85"/>
        </row>
        <row r="86">
          <cell r="C86">
            <v>372</v>
          </cell>
          <cell r="D86">
            <v>587</v>
          </cell>
          <cell r="E86"/>
          <cell r="F86"/>
          <cell r="G86"/>
          <cell r="H86"/>
          <cell r="I86"/>
          <cell r="J86"/>
          <cell r="K86"/>
          <cell r="L86"/>
          <cell r="M86"/>
          <cell r="N86"/>
          <cell r="O86">
            <v>959</v>
          </cell>
        </row>
        <row r="87">
          <cell r="C87"/>
          <cell r="D87"/>
          <cell r="E87"/>
          <cell r="F87"/>
          <cell r="G87"/>
          <cell r="H87"/>
          <cell r="I87"/>
          <cell r="J87"/>
          <cell r="K87"/>
          <cell r="L87"/>
          <cell r="M87"/>
          <cell r="N87"/>
          <cell r="O87"/>
        </row>
        <row r="88">
          <cell r="C88">
            <v>96</v>
          </cell>
          <cell r="D88">
            <v>816</v>
          </cell>
          <cell r="E88"/>
          <cell r="F88"/>
          <cell r="G88"/>
          <cell r="H88"/>
          <cell r="I88"/>
          <cell r="J88"/>
          <cell r="K88"/>
          <cell r="L88"/>
          <cell r="M88"/>
          <cell r="N88"/>
          <cell r="O88">
            <v>912</v>
          </cell>
        </row>
        <row r="89">
          <cell r="C89"/>
          <cell r="D89"/>
          <cell r="E89"/>
          <cell r="F89"/>
          <cell r="G89"/>
          <cell r="H89"/>
          <cell r="I89"/>
          <cell r="J89"/>
          <cell r="K89"/>
          <cell r="L89"/>
          <cell r="M89"/>
          <cell r="N89"/>
          <cell r="O89">
            <v>72000</v>
          </cell>
        </row>
        <row r="90">
          <cell r="C90">
            <v>2533</v>
          </cell>
          <cell r="D90">
            <v>3239</v>
          </cell>
          <cell r="E90"/>
          <cell r="F90"/>
          <cell r="G90"/>
          <cell r="H90"/>
          <cell r="I90"/>
          <cell r="J90"/>
          <cell r="K90"/>
          <cell r="L90"/>
          <cell r="M90"/>
          <cell r="N90"/>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cell r="F95"/>
          <cell r="G95"/>
          <cell r="H95"/>
          <cell r="I95"/>
          <cell r="J95"/>
          <cell r="K95"/>
          <cell r="L95"/>
          <cell r="M95"/>
          <cell r="N95"/>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cell r="F97"/>
          <cell r="G97"/>
          <cell r="H97"/>
          <cell r="I97"/>
          <cell r="J97"/>
          <cell r="K97"/>
          <cell r="L97"/>
          <cell r="M97"/>
          <cell r="N97"/>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cell r="F99"/>
          <cell r="G99"/>
          <cell r="H99"/>
          <cell r="I99"/>
          <cell r="J99"/>
          <cell r="K99"/>
          <cell r="L99"/>
          <cell r="M99"/>
          <cell r="N99"/>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cell r="F101"/>
          <cell r="G101"/>
          <cell r="H101"/>
          <cell r="I101"/>
          <cell r="J101"/>
          <cell r="K101"/>
          <cell r="L101"/>
          <cell r="M101"/>
          <cell r="N101"/>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cell r="F103"/>
          <cell r="G103"/>
          <cell r="H103"/>
          <cell r="I103"/>
          <cell r="J103"/>
          <cell r="K103"/>
          <cell r="L103"/>
          <cell r="M103"/>
          <cell r="N103"/>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cell r="F105"/>
          <cell r="G105"/>
          <cell r="H105"/>
          <cell r="I105"/>
          <cell r="J105"/>
          <cell r="K105"/>
          <cell r="L105"/>
          <cell r="M105"/>
          <cell r="N105"/>
          <cell r="O105">
            <v>8192</v>
          </cell>
        </row>
        <row r="117">
          <cell r="C117">
            <v>683.86009099999944</v>
          </cell>
          <cell r="D117">
            <v>646.36900333333222</v>
          </cell>
          <cell r="E117"/>
          <cell r="F117"/>
          <cell r="G117"/>
          <cell r="H117"/>
          <cell r="I117"/>
          <cell r="J117"/>
          <cell r="K117"/>
          <cell r="L117"/>
          <cell r="M117"/>
          <cell r="N117"/>
          <cell r="O117"/>
        </row>
        <row r="118">
          <cell r="C118">
            <v>2281</v>
          </cell>
          <cell r="D118">
            <v>2423</v>
          </cell>
          <cell r="E118"/>
          <cell r="F118"/>
          <cell r="G118"/>
          <cell r="H118"/>
          <cell r="I118"/>
          <cell r="J118"/>
          <cell r="K118"/>
          <cell r="L118"/>
          <cell r="M118"/>
          <cell r="N118"/>
          <cell r="O118"/>
        </row>
        <row r="119">
          <cell r="C119">
            <v>0.2</v>
          </cell>
          <cell r="D119">
            <v>0.14000000000000001</v>
          </cell>
          <cell r="E119"/>
          <cell r="F119"/>
          <cell r="G119"/>
          <cell r="H119"/>
          <cell r="I119"/>
          <cell r="J119"/>
          <cell r="K119"/>
          <cell r="L119"/>
          <cell r="M119"/>
          <cell r="N119"/>
          <cell r="O119"/>
        </row>
        <row r="120">
          <cell r="C120">
            <v>8.1299999999999997E-2</v>
          </cell>
          <cell r="D120"/>
          <cell r="E120"/>
          <cell r="F120"/>
          <cell r="G120"/>
          <cell r="H120"/>
          <cell r="I120"/>
          <cell r="J120"/>
          <cell r="K120"/>
          <cell r="L120"/>
          <cell r="M120"/>
          <cell r="N120"/>
          <cell r="O120"/>
        </row>
        <row r="121">
          <cell r="C121">
            <v>1151.6461674999971</v>
          </cell>
          <cell r="D121">
            <v>1102.9501888333293</v>
          </cell>
          <cell r="E121"/>
          <cell r="F121"/>
          <cell r="G121"/>
          <cell r="H121"/>
          <cell r="I121"/>
          <cell r="J121"/>
          <cell r="K121"/>
          <cell r="L121"/>
          <cell r="M121"/>
          <cell r="N121"/>
          <cell r="O121"/>
        </row>
        <row r="122">
          <cell r="C122">
            <v>5938</v>
          </cell>
          <cell r="D122">
            <v>5680</v>
          </cell>
          <cell r="E122"/>
          <cell r="F122"/>
          <cell r="G122"/>
          <cell r="H122"/>
          <cell r="I122"/>
          <cell r="J122"/>
          <cell r="K122"/>
          <cell r="L122"/>
          <cell r="M122"/>
          <cell r="N122"/>
          <cell r="O122"/>
        </row>
        <row r="123">
          <cell r="C123">
            <v>0.23</v>
          </cell>
          <cell r="D123">
            <v>0.23</v>
          </cell>
          <cell r="E123"/>
          <cell r="F123"/>
          <cell r="G123"/>
          <cell r="H123"/>
          <cell r="I123"/>
          <cell r="J123"/>
          <cell r="K123"/>
          <cell r="L123"/>
          <cell r="M123"/>
          <cell r="N123"/>
          <cell r="O123"/>
        </row>
        <row r="124">
          <cell r="C124">
            <v>8.4199999999999997E-2</v>
          </cell>
          <cell r="D124"/>
          <cell r="E124"/>
          <cell r="F124"/>
          <cell r="G124"/>
          <cell r="H124"/>
          <cell r="I124"/>
          <cell r="J124"/>
          <cell r="K124"/>
          <cell r="L124"/>
          <cell r="M124"/>
          <cell r="N124"/>
          <cell r="O124"/>
        </row>
        <row r="125">
          <cell r="C125">
            <v>1490.2284119999983</v>
          </cell>
          <cell r="D125">
            <v>1383.6864216666656</v>
          </cell>
          <cell r="E125"/>
          <cell r="F125"/>
          <cell r="G125"/>
          <cell r="H125"/>
          <cell r="I125"/>
          <cell r="J125"/>
          <cell r="K125"/>
          <cell r="L125"/>
          <cell r="M125"/>
          <cell r="N125"/>
          <cell r="O125"/>
        </row>
        <row r="126">
          <cell r="C126">
            <v>8512</v>
          </cell>
          <cell r="D126">
            <v>6576</v>
          </cell>
          <cell r="E126"/>
          <cell r="F126"/>
          <cell r="G126"/>
          <cell r="H126"/>
          <cell r="I126"/>
          <cell r="J126"/>
          <cell r="K126"/>
          <cell r="L126"/>
          <cell r="M126"/>
          <cell r="N126"/>
          <cell r="O126"/>
        </row>
        <row r="127">
          <cell r="C127">
            <v>0.14000000000000001</v>
          </cell>
          <cell r="D127">
            <v>0.15</v>
          </cell>
          <cell r="E127"/>
          <cell r="F127"/>
          <cell r="G127"/>
          <cell r="H127"/>
          <cell r="I127"/>
          <cell r="J127"/>
          <cell r="K127"/>
          <cell r="L127"/>
          <cell r="M127"/>
          <cell r="N127"/>
          <cell r="O127"/>
        </row>
        <row r="128">
          <cell r="C128">
            <v>4.4699999999999997E-2</v>
          </cell>
          <cell r="D128"/>
          <cell r="E128"/>
          <cell r="F128"/>
          <cell r="G128"/>
          <cell r="H128"/>
          <cell r="I128"/>
          <cell r="J128"/>
          <cell r="K128"/>
          <cell r="L128"/>
          <cell r="M128"/>
          <cell r="N128"/>
          <cell r="O128"/>
        </row>
        <row r="129">
          <cell r="C129">
            <v>918.94449249999661</v>
          </cell>
          <cell r="D129">
            <v>801.74467033333121</v>
          </cell>
          <cell r="E129"/>
          <cell r="F129"/>
          <cell r="G129"/>
          <cell r="H129"/>
          <cell r="I129"/>
          <cell r="J129"/>
          <cell r="K129"/>
          <cell r="L129"/>
          <cell r="M129"/>
          <cell r="N129"/>
          <cell r="O129"/>
        </row>
        <row r="130">
          <cell r="C130">
            <v>3000</v>
          </cell>
          <cell r="D130">
            <v>4336</v>
          </cell>
          <cell r="E130"/>
          <cell r="F130"/>
          <cell r="G130"/>
          <cell r="H130"/>
          <cell r="I130"/>
          <cell r="J130"/>
          <cell r="K130"/>
          <cell r="L130"/>
          <cell r="M130"/>
          <cell r="N130"/>
          <cell r="O130"/>
        </row>
        <row r="131">
          <cell r="C131">
            <v>0.13</v>
          </cell>
          <cell r="D131">
            <v>0.11</v>
          </cell>
          <cell r="E131"/>
          <cell r="F131"/>
          <cell r="G131"/>
          <cell r="H131"/>
          <cell r="I131"/>
          <cell r="J131"/>
          <cell r="K131"/>
          <cell r="L131"/>
          <cell r="M131"/>
          <cell r="N131"/>
          <cell r="O131"/>
        </row>
        <row r="132">
          <cell r="D132"/>
          <cell r="E132"/>
          <cell r="F132"/>
          <cell r="G132"/>
          <cell r="H132"/>
          <cell r="I132"/>
          <cell r="J132"/>
          <cell r="K132"/>
          <cell r="L132"/>
          <cell r="M132"/>
          <cell r="N132"/>
          <cell r="O132"/>
        </row>
        <row r="133">
          <cell r="C133">
            <v>1078.4008294999978</v>
          </cell>
          <cell r="D133">
            <v>1012.2786753333297</v>
          </cell>
          <cell r="E133"/>
          <cell r="F133"/>
          <cell r="G133"/>
          <cell r="H133"/>
          <cell r="I133"/>
          <cell r="J133"/>
          <cell r="K133"/>
          <cell r="L133"/>
          <cell r="M133"/>
          <cell r="N133"/>
          <cell r="O133"/>
        </row>
        <row r="134">
          <cell r="C134">
            <v>7902</v>
          </cell>
          <cell r="D134">
            <v>3575</v>
          </cell>
          <cell r="E134"/>
          <cell r="F134"/>
          <cell r="G134"/>
          <cell r="H134"/>
          <cell r="I134"/>
          <cell r="J134"/>
          <cell r="K134"/>
          <cell r="L134"/>
          <cell r="M134"/>
          <cell r="N134"/>
          <cell r="O134"/>
        </row>
        <row r="135">
          <cell r="C135">
            <v>0.11</v>
          </cell>
          <cell r="D135">
            <v>0.17</v>
          </cell>
          <cell r="E135"/>
          <cell r="F135"/>
          <cell r="G135"/>
          <cell r="H135"/>
          <cell r="I135"/>
          <cell r="J135"/>
          <cell r="K135"/>
          <cell r="L135"/>
          <cell r="M135"/>
          <cell r="N135"/>
          <cell r="O135"/>
        </row>
        <row r="136">
          <cell r="C136">
            <v>0.113</v>
          </cell>
          <cell r="D136"/>
          <cell r="E136"/>
          <cell r="F136"/>
          <cell r="G136"/>
          <cell r="H136"/>
          <cell r="I136"/>
          <cell r="J136"/>
          <cell r="K136"/>
          <cell r="L136"/>
          <cell r="M136"/>
          <cell r="N136"/>
          <cell r="O136"/>
        </row>
        <row r="137">
          <cell r="C137">
            <v>5323.0799924999892</v>
          </cell>
          <cell r="D137">
            <v>4947.0289594999876</v>
          </cell>
          <cell r="E137"/>
          <cell r="F137"/>
          <cell r="G137"/>
          <cell r="H137"/>
          <cell r="I137"/>
          <cell r="J137"/>
          <cell r="K137"/>
          <cell r="L137"/>
          <cell r="M137"/>
          <cell r="N137"/>
          <cell r="O137"/>
        </row>
        <row r="138">
          <cell r="C138">
            <v>27633</v>
          </cell>
          <cell r="D138">
            <v>22490</v>
          </cell>
          <cell r="E138"/>
          <cell r="F138"/>
          <cell r="G138"/>
          <cell r="H138"/>
          <cell r="I138"/>
          <cell r="J138"/>
          <cell r="K138"/>
          <cell r="L138"/>
          <cell r="M138"/>
          <cell r="N138"/>
          <cell r="O138"/>
        </row>
        <row r="139">
          <cell r="C139">
            <v>0.17</v>
          </cell>
          <cell r="D139">
            <v>0.18</v>
          </cell>
          <cell r="E139"/>
          <cell r="F139"/>
          <cell r="G139"/>
          <cell r="H139"/>
          <cell r="I139"/>
          <cell r="J139"/>
          <cell r="K139"/>
          <cell r="L139"/>
          <cell r="M139"/>
          <cell r="N139"/>
          <cell r="O139"/>
        </row>
        <row r="140">
          <cell r="C140">
            <v>6.7799999999999999E-2</v>
          </cell>
          <cell r="D140"/>
          <cell r="E140"/>
          <cell r="F140"/>
          <cell r="G140"/>
          <cell r="H140"/>
          <cell r="I140"/>
          <cell r="J140"/>
          <cell r="K140"/>
          <cell r="L140"/>
          <cell r="M140"/>
          <cell r="N140"/>
          <cell r="O140"/>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6">
          <cell r="C66">
            <v>27</v>
          </cell>
          <cell r="D66">
            <v>27</v>
          </cell>
          <cell r="E66"/>
          <cell r="F66"/>
          <cell r="G66"/>
          <cell r="H66"/>
          <cell r="I66"/>
          <cell r="J66"/>
          <cell r="K66"/>
          <cell r="L66"/>
          <cell r="M66"/>
          <cell r="N66"/>
          <cell r="O66"/>
        </row>
        <row r="67">
          <cell r="C67">
            <v>24.61</v>
          </cell>
          <cell r="D67">
            <v>24.19</v>
          </cell>
          <cell r="E67"/>
          <cell r="F67"/>
          <cell r="G67"/>
          <cell r="H67"/>
          <cell r="I67"/>
          <cell r="J67"/>
          <cell r="K67"/>
          <cell r="L67"/>
          <cell r="M67"/>
          <cell r="N67"/>
          <cell r="O67"/>
        </row>
        <row r="68">
          <cell r="C68"/>
          <cell r="D68"/>
          <cell r="E68"/>
          <cell r="F68"/>
          <cell r="G68"/>
          <cell r="H68"/>
          <cell r="I68"/>
          <cell r="J68"/>
          <cell r="K68"/>
          <cell r="L68"/>
          <cell r="M68"/>
          <cell r="N68"/>
          <cell r="O68"/>
        </row>
        <row r="69">
          <cell r="C69">
            <v>256.29000000000002</v>
          </cell>
          <cell r="D69">
            <v>233.93</v>
          </cell>
          <cell r="E69"/>
          <cell r="F69"/>
          <cell r="G69"/>
          <cell r="H69"/>
          <cell r="I69"/>
          <cell r="J69"/>
          <cell r="K69"/>
          <cell r="L69"/>
          <cell r="M69"/>
          <cell r="N69"/>
          <cell r="O69"/>
        </row>
        <row r="75">
          <cell r="C75">
            <v>1.0592679774165494</v>
          </cell>
          <cell r="D75">
            <v>0.83040161591723582</v>
          </cell>
          <cell r="E75"/>
          <cell r="F75"/>
          <cell r="G75"/>
          <cell r="H75"/>
          <cell r="I75"/>
          <cell r="J75"/>
          <cell r="K75"/>
          <cell r="L75"/>
          <cell r="M75"/>
          <cell r="N75"/>
        </row>
        <row r="76">
          <cell r="C76">
            <v>1.1542987906229212</v>
          </cell>
          <cell r="D76">
            <v>0.86843878650731265</v>
          </cell>
          <cell r="E76"/>
          <cell r="F76"/>
          <cell r="G76"/>
          <cell r="H76"/>
          <cell r="I76"/>
          <cell r="J76"/>
          <cell r="K76"/>
          <cell r="L76"/>
          <cell r="M76"/>
          <cell r="N76"/>
        </row>
        <row r="77">
          <cell r="C77">
            <v>1.1358334110619621</v>
          </cell>
          <cell r="D77">
            <v>0.89025244750095267</v>
          </cell>
          <cell r="E77"/>
          <cell r="F77"/>
          <cell r="G77"/>
          <cell r="H77"/>
          <cell r="I77"/>
          <cell r="J77"/>
          <cell r="K77"/>
          <cell r="L77"/>
          <cell r="M77"/>
          <cell r="N77"/>
        </row>
        <row r="78">
          <cell r="C78">
            <v>1.1194665242167188</v>
          </cell>
          <cell r="D78">
            <v>0.93605637994907054</v>
          </cell>
          <cell r="E78"/>
          <cell r="F78"/>
          <cell r="G78"/>
          <cell r="H78"/>
          <cell r="I78"/>
          <cell r="J78"/>
          <cell r="K78"/>
          <cell r="L78"/>
          <cell r="M78"/>
          <cell r="N78"/>
        </row>
        <row r="79">
          <cell r="C79">
            <v>1.0695669008338518</v>
          </cell>
          <cell r="D79">
            <v>0.79456692590412037</v>
          </cell>
          <cell r="E79"/>
          <cell r="F79"/>
          <cell r="G79"/>
          <cell r="H79"/>
          <cell r="I79"/>
          <cell r="J79"/>
          <cell r="K79"/>
          <cell r="L79"/>
          <cell r="M79"/>
          <cell r="N79"/>
        </row>
        <row r="80">
          <cell r="C80">
            <v>1.0668943742695343</v>
          </cell>
          <cell r="D80">
            <v>0.99319877338540419</v>
          </cell>
          <cell r="E80"/>
          <cell r="F80"/>
          <cell r="G80"/>
          <cell r="H80"/>
          <cell r="I80"/>
          <cell r="J80"/>
          <cell r="K80"/>
          <cell r="L80"/>
          <cell r="M80"/>
          <cell r="N80"/>
        </row>
        <row r="81">
          <cell r="C81">
            <v>1.1393482703908233</v>
          </cell>
          <cell r="D81">
            <v>0.94455282487921899</v>
          </cell>
          <cell r="E81"/>
          <cell r="F81"/>
          <cell r="G81"/>
          <cell r="H81"/>
          <cell r="I81"/>
          <cell r="J81"/>
          <cell r="K81"/>
          <cell r="L81"/>
          <cell r="M81"/>
          <cell r="N81"/>
        </row>
        <row r="82">
          <cell r="C82">
            <v>1.1347312125618836</v>
          </cell>
          <cell r="D82">
            <v>0.95241438563251579</v>
          </cell>
          <cell r="E82"/>
          <cell r="F82"/>
          <cell r="G82"/>
          <cell r="H82"/>
          <cell r="I82"/>
          <cell r="J82"/>
          <cell r="K82"/>
          <cell r="L82"/>
          <cell r="M82"/>
          <cell r="N82"/>
        </row>
        <row r="83">
          <cell r="C83">
            <v>1.0715019190427282</v>
          </cell>
          <cell r="D83">
            <v>0.88801105887009535</v>
          </cell>
          <cell r="E83"/>
          <cell r="F83"/>
          <cell r="G83"/>
          <cell r="H83"/>
          <cell r="I83"/>
          <cell r="J83"/>
          <cell r="K83"/>
          <cell r="L83"/>
          <cell r="M83"/>
          <cell r="N83"/>
        </row>
        <row r="84">
          <cell r="C84">
            <v>1.0850730591050242</v>
          </cell>
          <cell r="D84">
            <v>0.90411811547659016</v>
          </cell>
          <cell r="E84"/>
          <cell r="F84"/>
          <cell r="G84"/>
          <cell r="H84"/>
          <cell r="I84"/>
          <cell r="J84"/>
          <cell r="K84"/>
          <cell r="L84"/>
          <cell r="M84"/>
          <cell r="N84"/>
        </row>
        <row r="85">
          <cell r="C85">
            <v>1.176349284569786</v>
          </cell>
          <cell r="D85">
            <v>0.89480758839187802</v>
          </cell>
          <cell r="E85"/>
          <cell r="F85"/>
          <cell r="G85"/>
          <cell r="H85"/>
          <cell r="I85"/>
          <cell r="J85"/>
          <cell r="K85"/>
          <cell r="L85"/>
          <cell r="M85"/>
          <cell r="N85"/>
        </row>
        <row r="86">
          <cell r="C86">
            <v>1.1316268955957027</v>
          </cell>
          <cell r="D86">
            <v>0.83821354134758252</v>
          </cell>
          <cell r="E86"/>
          <cell r="F86"/>
          <cell r="G86"/>
          <cell r="H86"/>
          <cell r="I86"/>
          <cell r="J86"/>
          <cell r="K86"/>
          <cell r="L86"/>
          <cell r="M86"/>
          <cell r="N86"/>
        </row>
        <row r="87">
          <cell r="C87">
            <v>1.1359454604796591</v>
          </cell>
          <cell r="D87">
            <v>0.89376209875906643</v>
          </cell>
          <cell r="E87"/>
          <cell r="F87"/>
          <cell r="G87"/>
          <cell r="H87"/>
          <cell r="I87"/>
          <cell r="J87"/>
          <cell r="K87"/>
          <cell r="L87"/>
          <cell r="M87"/>
          <cell r="N87"/>
        </row>
        <row r="88">
          <cell r="C88">
            <v>1.1185324818629019</v>
          </cell>
          <cell r="D88">
            <v>0.92394172534273478</v>
          </cell>
          <cell r="E88"/>
          <cell r="F88"/>
          <cell r="G88"/>
          <cell r="H88"/>
          <cell r="I88"/>
          <cell r="J88"/>
          <cell r="K88"/>
          <cell r="L88"/>
          <cell r="M88"/>
          <cell r="N88"/>
        </row>
        <row r="89">
          <cell r="C89">
            <v>1.0811034559067754</v>
          </cell>
          <cell r="D89">
            <v>0.86862019282362446</v>
          </cell>
          <cell r="E89"/>
          <cell r="F89"/>
          <cell r="G89"/>
          <cell r="H89"/>
          <cell r="I89"/>
          <cell r="J89"/>
          <cell r="K89"/>
          <cell r="L89"/>
          <cell r="M89"/>
          <cell r="N89"/>
        </row>
        <row r="90">
          <cell r="C90">
            <v>1.1149523855585457</v>
          </cell>
          <cell r="D90">
            <v>0.89927693341680104</v>
          </cell>
          <cell r="E90"/>
          <cell r="F90"/>
          <cell r="G90"/>
          <cell r="H90"/>
          <cell r="I90"/>
          <cell r="J90"/>
          <cell r="K90"/>
          <cell r="L90"/>
          <cell r="M90"/>
          <cell r="N90"/>
        </row>
        <row r="91">
          <cell r="C91">
            <v>1.0846828829633159</v>
          </cell>
          <cell r="D91">
            <v>0.87029358191539719</v>
          </cell>
          <cell r="E91"/>
          <cell r="F91"/>
          <cell r="G91"/>
          <cell r="H91"/>
          <cell r="I91"/>
          <cell r="J91"/>
          <cell r="K91"/>
          <cell r="L91"/>
          <cell r="M91"/>
          <cell r="N91"/>
        </row>
        <row r="92">
          <cell r="C92">
            <v>1.1151897089569369</v>
          </cell>
          <cell r="D92">
            <v>0.90088578582535872</v>
          </cell>
          <cell r="E92"/>
          <cell r="F92"/>
          <cell r="G92"/>
          <cell r="H92"/>
          <cell r="I92"/>
          <cell r="J92"/>
          <cell r="K92"/>
          <cell r="L92"/>
          <cell r="M92"/>
          <cell r="N92"/>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cell r="P6"/>
          <cell r="Q6"/>
          <cell r="R6"/>
          <cell r="S6"/>
          <cell r="T6"/>
          <cell r="U6"/>
          <cell r="V6"/>
          <cell r="W6"/>
          <cell r="X6"/>
          <cell r="Y6"/>
          <cell r="Z6"/>
          <cell r="AA6"/>
          <cell r="AB6"/>
          <cell r="AC6"/>
          <cell r="AD6"/>
          <cell r="AE6"/>
          <cell r="AF6"/>
          <cell r="AG6"/>
          <cell r="AH6"/>
          <cell r="AI6"/>
          <cell r="AJ6"/>
          <cell r="AK6"/>
          <cell r="AL6"/>
          <cell r="AM6"/>
          <cell r="AN6"/>
          <cell r="AO6"/>
          <cell r="AP6"/>
          <cell r="AQ6"/>
          <cell r="AR6"/>
          <cell r="AS6"/>
          <cell r="AT6"/>
          <cell r="AU6"/>
          <cell r="AV6"/>
          <cell r="AW6"/>
          <cell r="AX6"/>
          <cell r="AY6"/>
          <cell r="AZ6"/>
          <cell r="BA6"/>
          <cell r="BB6"/>
          <cell r="BC6"/>
          <cell r="BD6"/>
          <cell r="BE6"/>
          <cell r="BF6"/>
          <cell r="BG6"/>
          <cell r="BH6"/>
          <cell r="BI6"/>
          <cell r="BJ6"/>
          <cell r="BK6"/>
          <cell r="BL6"/>
          <cell r="BM6"/>
          <cell r="BN6"/>
          <cell r="BO6"/>
          <cell r="BP6"/>
          <cell r="BQ6"/>
          <cell r="BR6"/>
          <cell r="BS6"/>
          <cell r="BT6"/>
          <cell r="BU6"/>
          <cell r="BV6"/>
          <cell r="BW6"/>
          <cell r="BX6"/>
          <cell r="BY6"/>
          <cell r="BZ6"/>
          <cell r="CA6"/>
          <cell r="CB6"/>
          <cell r="CC6"/>
          <cell r="CD6"/>
          <cell r="CE6"/>
          <cell r="CF6"/>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cell r="AT7"/>
          <cell r="AU7"/>
          <cell r="AV7"/>
          <cell r="AW7"/>
          <cell r="AX7"/>
          <cell r="AY7"/>
          <cell r="AZ7"/>
          <cell r="BA7"/>
          <cell r="BB7"/>
          <cell r="BC7"/>
          <cell r="BD7"/>
          <cell r="BE7"/>
          <cell r="BF7"/>
          <cell r="BG7"/>
          <cell r="BH7"/>
          <cell r="BI7"/>
          <cell r="BJ7"/>
          <cell r="BK7"/>
          <cell r="BL7"/>
          <cell r="BM7"/>
          <cell r="BN7"/>
          <cell r="BO7"/>
          <cell r="BP7"/>
          <cell r="BQ7"/>
          <cell r="BR7"/>
          <cell r="BS7"/>
          <cell r="BT7"/>
          <cell r="BU7"/>
          <cell r="BV7"/>
          <cell r="BW7"/>
          <cell r="BX7"/>
          <cell r="BY7"/>
          <cell r="BZ7"/>
          <cell r="CA7"/>
          <cell r="CB7"/>
          <cell r="CC7"/>
          <cell r="CD7"/>
          <cell r="CE7"/>
          <cell r="CF7"/>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cell r="BO8"/>
          <cell r="BP8"/>
          <cell r="BQ8"/>
          <cell r="BR8"/>
          <cell r="BS8"/>
          <cell r="BT8"/>
          <cell r="BU8"/>
          <cell r="BV8"/>
          <cell r="BW8"/>
          <cell r="BX8"/>
          <cell r="BY8"/>
          <cell r="BZ8"/>
          <cell r="CA8"/>
          <cell r="CB8"/>
          <cell r="CC8"/>
          <cell r="CD8"/>
          <cell r="CE8"/>
          <cell r="CF8"/>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cell r="AT9"/>
          <cell r="AU9"/>
          <cell r="AV9"/>
          <cell r="AW9"/>
          <cell r="AX9"/>
          <cell r="AY9"/>
          <cell r="AZ9"/>
          <cell r="BA9"/>
          <cell r="BB9"/>
          <cell r="BC9"/>
          <cell r="BD9"/>
          <cell r="BE9"/>
          <cell r="BF9"/>
          <cell r="BG9"/>
          <cell r="BH9"/>
          <cell r="BI9"/>
          <cell r="BJ9"/>
          <cell r="BK9"/>
          <cell r="BL9"/>
          <cell r="BM9"/>
          <cell r="BN9"/>
          <cell r="BO9"/>
          <cell r="BP9"/>
          <cell r="BQ9"/>
          <cell r="BR9"/>
          <cell r="BS9"/>
          <cell r="BT9"/>
          <cell r="BU9"/>
          <cell r="BV9"/>
          <cell r="BW9"/>
          <cell r="BX9"/>
          <cell r="BY9"/>
          <cell r="BZ9"/>
          <cell r="CA9"/>
          <cell r="CB9"/>
          <cell r="CC9"/>
          <cell r="CD9"/>
          <cell r="CE9"/>
          <cell r="CF9"/>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cell r="AP10"/>
          <cell r="AQ10"/>
          <cell r="AR10"/>
          <cell r="AS10"/>
          <cell r="AT10"/>
          <cell r="AU10"/>
          <cell r="AV10"/>
          <cell r="AW10"/>
          <cell r="AX10"/>
          <cell r="AY10"/>
          <cell r="AZ10"/>
          <cell r="BA10"/>
          <cell r="BB10"/>
          <cell r="BC10"/>
          <cell r="BD10"/>
          <cell r="BE10"/>
          <cell r="BF10"/>
          <cell r="BG10"/>
          <cell r="BH10"/>
          <cell r="BI10"/>
          <cell r="BJ10"/>
          <cell r="BK10"/>
          <cell r="BL10"/>
          <cell r="BM10"/>
          <cell r="BN10"/>
          <cell r="BO10"/>
          <cell r="BP10"/>
          <cell r="BQ10"/>
          <cell r="BR10"/>
          <cell r="BS10"/>
          <cell r="BT10"/>
          <cell r="BU10"/>
          <cell r="BV10"/>
          <cell r="BW10"/>
          <cell r="BX10"/>
          <cell r="BY10"/>
          <cell r="BZ10"/>
          <cell r="CA10"/>
          <cell r="CB10"/>
          <cell r="CC10"/>
          <cell r="CD10"/>
          <cell r="CE10"/>
          <cell r="CF10"/>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cell r="AT11"/>
          <cell r="AU11"/>
          <cell r="AV11"/>
          <cell r="AW11"/>
          <cell r="AX11"/>
          <cell r="AY11"/>
          <cell r="AZ11"/>
          <cell r="BA11"/>
          <cell r="BB11"/>
          <cell r="BC11"/>
          <cell r="BD11"/>
          <cell r="BE11"/>
          <cell r="BF11"/>
          <cell r="BG11"/>
          <cell r="BH11"/>
          <cell r="BI11"/>
          <cell r="BJ11"/>
          <cell r="BK11"/>
          <cell r="BL11"/>
          <cell r="BM11"/>
          <cell r="BN11"/>
          <cell r="BO11"/>
          <cell r="BP11"/>
          <cell r="BQ11"/>
          <cell r="BR11"/>
          <cell r="BS11"/>
          <cell r="BT11"/>
          <cell r="BU11"/>
          <cell r="BV11"/>
          <cell r="BW11"/>
          <cell r="BX11"/>
          <cell r="BY11"/>
          <cell r="BZ11"/>
          <cell r="CA11"/>
          <cell r="CB11"/>
          <cell r="CC11"/>
          <cell r="CD11"/>
          <cell r="CE11"/>
          <cell r="CF11"/>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cell r="P12"/>
          <cell r="Q12"/>
          <cell r="R12"/>
          <cell r="S12"/>
          <cell r="T12"/>
          <cell r="U12"/>
          <cell r="V12"/>
          <cell r="W12"/>
          <cell r="X12"/>
          <cell r="Y12"/>
          <cell r="Z12"/>
          <cell r="AA12"/>
          <cell r="AB12"/>
          <cell r="AC12"/>
          <cell r="AD12"/>
          <cell r="AE12"/>
          <cell r="AF12"/>
          <cell r="AG12"/>
          <cell r="AH12"/>
          <cell r="AI12"/>
          <cell r="AJ12"/>
          <cell r="AK12"/>
          <cell r="AL12"/>
          <cell r="AM12"/>
          <cell r="AN12"/>
          <cell r="AO12"/>
          <cell r="AP12"/>
          <cell r="AQ12"/>
          <cell r="AR12"/>
          <cell r="AS12"/>
          <cell r="AT12"/>
          <cell r="AU12"/>
          <cell r="AV12"/>
          <cell r="AW12"/>
          <cell r="AX12"/>
          <cell r="AY12"/>
          <cell r="AZ12"/>
          <cell r="BA12"/>
          <cell r="BB12"/>
          <cell r="BC12"/>
          <cell r="BD12"/>
          <cell r="BE12"/>
          <cell r="BF12"/>
          <cell r="BG12"/>
          <cell r="BH12"/>
          <cell r="BI12"/>
          <cell r="BJ12"/>
          <cell r="BK12"/>
          <cell r="BL12"/>
          <cell r="BM12"/>
          <cell r="BN12"/>
          <cell r="BO12"/>
          <cell r="BP12"/>
          <cell r="BQ12"/>
          <cell r="BR12"/>
          <cell r="BS12"/>
          <cell r="BT12"/>
          <cell r="BU12"/>
          <cell r="BV12"/>
          <cell r="BW12"/>
          <cell r="BX12"/>
          <cell r="BY12"/>
          <cell r="BZ12"/>
          <cell r="CA12"/>
          <cell r="CB12"/>
          <cell r="CC12"/>
          <cell r="CD12"/>
          <cell r="CE12"/>
          <cell r="CF12"/>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cell r="AT13"/>
          <cell r="AU13"/>
          <cell r="AV13"/>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cell r="BW13"/>
          <cell r="BX13"/>
          <cell r="BY13"/>
          <cell r="BZ13"/>
          <cell r="CA13"/>
          <cell r="CB13"/>
          <cell r="CC13"/>
          <cell r="CD13"/>
          <cell r="CE13"/>
          <cell r="CF13"/>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cell r="P14"/>
          <cell r="Q14"/>
          <cell r="R14"/>
          <cell r="S14"/>
          <cell r="T14"/>
          <cell r="U14"/>
          <cell r="V14"/>
          <cell r="W14"/>
          <cell r="X14"/>
          <cell r="Y14"/>
          <cell r="Z14"/>
          <cell r="AA14"/>
          <cell r="AB14"/>
          <cell r="AC14"/>
          <cell r="AD14"/>
          <cell r="AE14"/>
          <cell r="AF14"/>
          <cell r="AG14"/>
          <cell r="AH14"/>
          <cell r="AI14"/>
          <cell r="AJ14"/>
          <cell r="AK14"/>
          <cell r="AL14"/>
          <cell r="AM14"/>
          <cell r="AN14"/>
          <cell r="AO14"/>
          <cell r="AP14"/>
          <cell r="AQ14"/>
          <cell r="AR14"/>
          <cell r="AS14"/>
          <cell r="AT14"/>
          <cell r="AU14"/>
          <cell r="AV14"/>
          <cell r="AW14"/>
          <cell r="AX14"/>
          <cell r="AY14"/>
          <cell r="AZ14"/>
          <cell r="BA14"/>
          <cell r="BB14"/>
          <cell r="BC14"/>
          <cell r="BD14"/>
          <cell r="BE14"/>
          <cell r="BF14"/>
          <cell r="BG14"/>
          <cell r="BH14"/>
          <cell r="BI14"/>
          <cell r="BJ14"/>
          <cell r="BK14"/>
          <cell r="BL14"/>
          <cell r="BM14"/>
          <cell r="BN14"/>
          <cell r="BO14"/>
          <cell r="BP14"/>
          <cell r="BQ14"/>
          <cell r="BR14"/>
          <cell r="BS14"/>
          <cell r="BT14"/>
          <cell r="BU14"/>
          <cell r="BV14"/>
          <cell r="BW14"/>
          <cell r="BX14"/>
          <cell r="BY14"/>
          <cell r="BZ14"/>
          <cell r="CA14"/>
          <cell r="CB14"/>
          <cell r="CC14"/>
          <cell r="CD14"/>
          <cell r="CE14"/>
          <cell r="CF14"/>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cell r="AT15"/>
          <cell r="AU15"/>
          <cell r="AV15"/>
          <cell r="AW15"/>
          <cell r="AX15"/>
          <cell r="AY15"/>
          <cell r="AZ15"/>
          <cell r="BA15"/>
          <cell r="BB15"/>
          <cell r="BC15"/>
          <cell r="BD15"/>
          <cell r="BE15"/>
          <cell r="BF15"/>
          <cell r="BG15"/>
          <cell r="BH15"/>
          <cell r="BI15"/>
          <cell r="BJ15"/>
          <cell r="BK15"/>
          <cell r="BL15"/>
          <cell r="BM15"/>
          <cell r="BN15"/>
          <cell r="BO15"/>
          <cell r="BP15"/>
          <cell r="BQ15"/>
          <cell r="BR15"/>
          <cell r="BS15"/>
          <cell r="BT15"/>
          <cell r="BU15"/>
          <cell r="BV15"/>
          <cell r="BW15"/>
          <cell r="BX15"/>
          <cell r="BY15"/>
          <cell r="BZ15"/>
          <cell r="CA15"/>
          <cell r="CB15"/>
          <cell r="CC15"/>
          <cell r="CD15"/>
          <cell r="CE15"/>
          <cell r="CF15"/>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cell r="CC16"/>
          <cell r="CD16"/>
          <cell r="CE16"/>
          <cell r="CF16"/>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cell r="CC87"/>
          <cell r="CD87"/>
          <cell r="CE87"/>
          <cell r="CF87"/>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cell r="CE88"/>
          <cell r="CF88"/>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cell r="CC93"/>
          <cell r="CD93"/>
          <cell r="CE93"/>
          <cell r="CF93"/>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cell r="CC94"/>
          <cell r="CD94"/>
          <cell r="CE94"/>
          <cell r="CF94"/>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cell r="CC95"/>
          <cell r="CD95"/>
          <cell r="CE95"/>
          <cell r="CF95"/>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cell r="CC97"/>
          <cell r="CD97"/>
          <cell r="CE97"/>
          <cell r="CF97"/>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cell r="CC98"/>
          <cell r="CD98"/>
          <cell r="CE98"/>
          <cell r="CF98"/>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cell r="P99"/>
          <cell r="Q99"/>
          <cell r="R99"/>
          <cell r="S99"/>
          <cell r="T99"/>
          <cell r="U99"/>
          <cell r="V99"/>
          <cell r="W99"/>
          <cell r="X99"/>
          <cell r="Y99"/>
          <cell r="Z99"/>
          <cell r="AA99"/>
          <cell r="AB99"/>
          <cell r="AC99"/>
          <cell r="AD99"/>
          <cell r="AE99"/>
          <cell r="AF99"/>
          <cell r="AG99"/>
          <cell r="AH99"/>
          <cell r="AI99"/>
          <cell r="AJ99"/>
          <cell r="AK99"/>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cell r="CE99"/>
          <cell r="CF99"/>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cell r="P100"/>
          <cell r="Q100"/>
          <cell r="R100"/>
          <cell r="S100"/>
          <cell r="T100"/>
          <cell r="U100"/>
          <cell r="V100"/>
          <cell r="W100"/>
          <cell r="X100"/>
          <cell r="Y100"/>
          <cell r="Z100"/>
          <cell r="AA100"/>
          <cell r="AB100"/>
          <cell r="AC100"/>
          <cell r="AD100"/>
          <cell r="AE100"/>
          <cell r="AF100"/>
          <cell r="AG100"/>
          <cell r="AH100"/>
          <cell r="AI100"/>
          <cell r="AJ100"/>
          <cell r="AK100"/>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cell r="P101"/>
          <cell r="Q101"/>
          <cell r="R101"/>
          <cell r="S101"/>
          <cell r="T101"/>
          <cell r="U101"/>
          <cell r="V101"/>
          <cell r="W101"/>
          <cell r="X101"/>
          <cell r="Y101"/>
          <cell r="Z101"/>
          <cell r="AA101"/>
          <cell r="AB101"/>
          <cell r="AC101"/>
          <cell r="AD101"/>
          <cell r="AE101"/>
          <cell r="AF101"/>
          <cell r="AG101"/>
          <cell r="AH101"/>
          <cell r="AI101"/>
          <cell r="AJ101"/>
          <cell r="AK101"/>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cell r="BL101"/>
          <cell r="BM101"/>
          <cell r="BN101"/>
          <cell r="BO101"/>
          <cell r="BP101"/>
          <cell r="BQ101"/>
          <cell r="BR101"/>
          <cell r="BS101"/>
          <cell r="BT101"/>
          <cell r="BU101"/>
          <cell r="BV101"/>
          <cell r="BW101"/>
          <cell r="BX101"/>
          <cell r="BY101"/>
          <cell r="BZ101"/>
          <cell r="CA101"/>
          <cell r="CB101"/>
          <cell r="CC101"/>
          <cell r="CD101"/>
          <cell r="CE101"/>
          <cell r="CF101"/>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cell r="P102"/>
          <cell r="Q102"/>
          <cell r="R102"/>
          <cell r="S102"/>
          <cell r="T102"/>
          <cell r="U102"/>
          <cell r="V102"/>
          <cell r="W102"/>
          <cell r="X102"/>
          <cell r="Y102"/>
          <cell r="Z102"/>
          <cell r="AA102"/>
          <cell r="AB102"/>
          <cell r="AC102"/>
          <cell r="AD102"/>
          <cell r="AE102"/>
          <cell r="AF102"/>
          <cell r="AG102"/>
          <cell r="AH102"/>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cell r="BW102"/>
          <cell r="BX102"/>
          <cell r="BY102"/>
          <cell r="BZ102"/>
          <cell r="CA102"/>
          <cell r="CB102"/>
          <cell r="CC102"/>
          <cell r="CD102"/>
          <cell r="CE102"/>
          <cell r="CF102"/>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cell r="P103"/>
          <cell r="Q103"/>
          <cell r="R103"/>
          <cell r="S103"/>
          <cell r="T103"/>
          <cell r="U103"/>
          <cell r="V103"/>
          <cell r="W103"/>
          <cell r="X103"/>
          <cell r="Y103"/>
          <cell r="Z103"/>
          <cell r="AA103"/>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cell r="BA103"/>
          <cell r="BB103"/>
          <cell r="BC103"/>
          <cell r="BD103"/>
          <cell r="BE103"/>
          <cell r="BF103"/>
          <cell r="BG103"/>
          <cell r="BH103"/>
          <cell r="BI103"/>
          <cell r="BJ103"/>
          <cell r="BK103"/>
          <cell r="BL103"/>
          <cell r="BM103"/>
          <cell r="BN103"/>
          <cell r="BO103"/>
          <cell r="BP103"/>
          <cell r="BQ103"/>
          <cell r="BR103"/>
          <cell r="BS103"/>
          <cell r="BT103"/>
          <cell r="BU103"/>
          <cell r="BV103"/>
          <cell r="BW103"/>
          <cell r="BX103"/>
          <cell r="BY103"/>
          <cell r="BZ103"/>
          <cell r="CA103"/>
          <cell r="CB103"/>
          <cell r="CC103"/>
          <cell r="CD103"/>
          <cell r="CE103"/>
          <cell r="CF103"/>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cell r="P104"/>
          <cell r="Q104"/>
          <cell r="R104"/>
          <cell r="S104"/>
          <cell r="T104"/>
          <cell r="U104"/>
          <cell r="V104"/>
          <cell r="W104"/>
          <cell r="X104"/>
          <cell r="Y104"/>
          <cell r="Z104"/>
          <cell r="AA104"/>
          <cell r="AB104"/>
          <cell r="AC104"/>
          <cell r="AD104"/>
          <cell r="AE104"/>
          <cell r="AF104"/>
          <cell r="AG104"/>
          <cell r="AH104"/>
          <cell r="AI104"/>
          <cell r="AJ104"/>
          <cell r="AK104"/>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cell r="BL104"/>
          <cell r="BM104"/>
          <cell r="BN104"/>
          <cell r="BO104"/>
          <cell r="BP104"/>
          <cell r="BQ104"/>
          <cell r="BR104"/>
          <cell r="BS104"/>
          <cell r="BT104"/>
          <cell r="BU104"/>
          <cell r="BV104"/>
          <cell r="BW104"/>
          <cell r="BX104"/>
          <cell r="BY104"/>
          <cell r="BZ104"/>
          <cell r="CA104"/>
          <cell r="CB104"/>
          <cell r="CC104"/>
          <cell r="CD104"/>
          <cell r="CE104"/>
          <cell r="CF104"/>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cell r="P105"/>
          <cell r="Q105"/>
          <cell r="R105"/>
          <cell r="S105"/>
          <cell r="T105"/>
          <cell r="U105"/>
          <cell r="V105"/>
          <cell r="W105"/>
          <cell r="X105"/>
          <cell r="Y105"/>
          <cell r="Z105"/>
          <cell r="AA105"/>
          <cell r="AB105"/>
          <cell r="AC105"/>
          <cell r="AD105"/>
          <cell r="AE105"/>
          <cell r="AF105"/>
          <cell r="AG105"/>
          <cell r="AH105"/>
          <cell r="AI105"/>
          <cell r="AJ105"/>
          <cell r="AK105"/>
          <cell r="AL105"/>
          <cell r="AM105"/>
          <cell r="AN105"/>
          <cell r="AO105"/>
          <cell r="AP105"/>
          <cell r="AQ105"/>
          <cell r="AR105"/>
          <cell r="AS105"/>
          <cell r="AT105"/>
          <cell r="AU105"/>
          <cell r="AV105"/>
          <cell r="AW105"/>
          <cell r="AX105"/>
          <cell r="AY105"/>
          <cell r="AZ105"/>
          <cell r="BA105"/>
          <cell r="BB105"/>
          <cell r="BC105"/>
          <cell r="BD105"/>
          <cell r="BE105"/>
          <cell r="BF105"/>
          <cell r="BG105"/>
          <cell r="BH105"/>
          <cell r="BI105"/>
          <cell r="BJ105"/>
          <cell r="BK105"/>
          <cell r="BL105"/>
          <cell r="BM105"/>
          <cell r="BN105"/>
          <cell r="BO105"/>
          <cell r="BP105"/>
          <cell r="BQ105"/>
          <cell r="BR105"/>
          <cell r="BS105"/>
          <cell r="BT105"/>
          <cell r="BU105"/>
          <cell r="BV105"/>
          <cell r="BW105"/>
          <cell r="BX105"/>
          <cell r="BY105"/>
          <cell r="BZ105"/>
          <cell r="CA105"/>
          <cell r="CB105"/>
          <cell r="CC105"/>
          <cell r="CD105"/>
          <cell r="CE105"/>
          <cell r="CF105"/>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cell r="P106"/>
          <cell r="Q106"/>
          <cell r="R106"/>
          <cell r="S106"/>
          <cell r="T106"/>
          <cell r="U106"/>
          <cell r="V106"/>
          <cell r="W106"/>
          <cell r="X106"/>
          <cell r="Y106"/>
          <cell r="Z106"/>
          <cell r="AA106"/>
          <cell r="AB106"/>
          <cell r="AC106"/>
          <cell r="AD106"/>
          <cell r="AE106"/>
          <cell r="AF106"/>
          <cell r="AG106"/>
          <cell r="AH106"/>
          <cell r="AI106"/>
          <cell r="AJ106"/>
          <cell r="AK106"/>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cell r="BL106"/>
          <cell r="BM106"/>
          <cell r="BN106"/>
          <cell r="BO106"/>
          <cell r="BP106"/>
          <cell r="BQ106"/>
          <cell r="BR106"/>
          <cell r="BS106"/>
          <cell r="BT106"/>
          <cell r="BU106"/>
          <cell r="BV106"/>
          <cell r="BW106"/>
          <cell r="BX106"/>
          <cell r="BY106"/>
          <cell r="BZ106"/>
          <cell r="CA106"/>
          <cell r="CB106"/>
          <cell r="CC106"/>
          <cell r="CD106"/>
          <cell r="CE106"/>
          <cell r="CF106"/>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cell r="P107"/>
          <cell r="Q107"/>
          <cell r="R107"/>
          <cell r="S107"/>
          <cell r="T107"/>
          <cell r="U107"/>
          <cell r="V107"/>
          <cell r="W107"/>
          <cell r="X107"/>
          <cell r="Y107"/>
          <cell r="Z107"/>
          <cell r="AA107"/>
          <cell r="AB107"/>
          <cell r="AC107"/>
          <cell r="AD107"/>
          <cell r="AE107"/>
          <cell r="AF107"/>
          <cell r="AG107"/>
          <cell r="AH107"/>
          <cell r="AI107"/>
          <cell r="AJ107"/>
          <cell r="AK107"/>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cell r="BL107"/>
          <cell r="BM107"/>
          <cell r="BN107"/>
          <cell r="BO107"/>
          <cell r="BP107"/>
          <cell r="BQ107"/>
          <cell r="BR107"/>
          <cell r="BS107"/>
          <cell r="BT107"/>
          <cell r="BU107"/>
          <cell r="BV107"/>
          <cell r="BW107"/>
          <cell r="BX107"/>
          <cell r="BY107"/>
          <cell r="BZ107"/>
          <cell r="CA107"/>
          <cell r="CB107"/>
          <cell r="CC107"/>
          <cell r="CD107"/>
          <cell r="CE107"/>
          <cell r="CF107"/>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cell r="P108"/>
          <cell r="Q108"/>
          <cell r="R108"/>
          <cell r="S108"/>
          <cell r="T108"/>
          <cell r="U108"/>
          <cell r="V108"/>
          <cell r="W108"/>
          <cell r="X108"/>
          <cell r="Y108"/>
          <cell r="Z108"/>
          <cell r="AA108"/>
          <cell r="AB108"/>
          <cell r="AC108"/>
          <cell r="AD108"/>
          <cell r="AE108"/>
          <cell r="AF108"/>
          <cell r="AG108"/>
          <cell r="AH108"/>
          <cell r="AI108"/>
          <cell r="AJ108"/>
          <cell r="AK108"/>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cell r="BL108"/>
          <cell r="BM108"/>
          <cell r="BN108"/>
          <cell r="BO108"/>
          <cell r="BP108"/>
          <cell r="BQ108"/>
          <cell r="BR108"/>
          <cell r="BS108"/>
          <cell r="BT108"/>
          <cell r="BU108"/>
          <cell r="BV108"/>
          <cell r="BW108"/>
          <cell r="BX108"/>
          <cell r="BY108"/>
          <cell r="BZ108"/>
          <cell r="CA108"/>
          <cell r="CB108"/>
          <cell r="CC108"/>
          <cell r="CD108"/>
          <cell r="CE108"/>
          <cell r="CF108"/>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cell r="P109"/>
          <cell r="Q109"/>
          <cell r="R109"/>
          <cell r="S109"/>
          <cell r="T109"/>
          <cell r="U109"/>
          <cell r="V109"/>
          <cell r="W109"/>
          <cell r="X109"/>
          <cell r="Y109"/>
          <cell r="Z109"/>
          <cell r="AA109"/>
          <cell r="AB109"/>
          <cell r="AC109"/>
          <cell r="AD109"/>
          <cell r="AE109"/>
          <cell r="AF109"/>
          <cell r="AG109"/>
          <cell r="AH109"/>
          <cell r="AI109"/>
          <cell r="AJ109"/>
          <cell r="AK109"/>
          <cell r="AL109"/>
          <cell r="AM109"/>
          <cell r="AN109"/>
          <cell r="AO109"/>
          <cell r="AP109"/>
          <cell r="AQ109"/>
          <cell r="AR109"/>
          <cell r="AS109"/>
          <cell r="AT109"/>
          <cell r="AU109"/>
          <cell r="AV109"/>
          <cell r="AW109"/>
          <cell r="AX109"/>
          <cell r="AY109"/>
          <cell r="AZ109"/>
          <cell r="BA109"/>
          <cell r="BB109"/>
          <cell r="BC109"/>
          <cell r="BD109"/>
          <cell r="BE109"/>
          <cell r="BF109"/>
          <cell r="BG109"/>
          <cell r="BH109"/>
          <cell r="BI109"/>
          <cell r="BJ109"/>
          <cell r="BK109"/>
          <cell r="BL109"/>
          <cell r="BM109"/>
          <cell r="BN109"/>
          <cell r="BO109"/>
          <cell r="BP109"/>
          <cell r="BQ109"/>
          <cell r="BR109"/>
          <cell r="BS109"/>
          <cell r="BT109"/>
          <cell r="BU109"/>
          <cell r="BV109"/>
          <cell r="BW109"/>
          <cell r="BX109"/>
          <cell r="BY109"/>
          <cell r="BZ109"/>
          <cell r="CA109"/>
          <cell r="CB109"/>
          <cell r="CC109"/>
          <cell r="CD109"/>
          <cell r="CE109"/>
          <cell r="CF109"/>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cell r="P110"/>
          <cell r="Q110"/>
          <cell r="R110"/>
          <cell r="S110"/>
          <cell r="T110"/>
          <cell r="U110"/>
          <cell r="V110"/>
          <cell r="W110"/>
          <cell r="X110"/>
          <cell r="Y110"/>
          <cell r="Z110"/>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cell r="BU110"/>
          <cell r="BV110"/>
          <cell r="BW110"/>
          <cell r="BX110"/>
          <cell r="BY110"/>
          <cell r="BZ110"/>
          <cell r="CA110"/>
          <cell r="CB110"/>
          <cell r="CC110"/>
          <cell r="CD110"/>
          <cell r="CE110"/>
          <cell r="CF110"/>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cell r="P111"/>
          <cell r="Q111"/>
          <cell r="R111"/>
          <cell r="S111"/>
          <cell r="T111"/>
          <cell r="U111"/>
          <cell r="V111"/>
          <cell r="W111"/>
          <cell r="X111"/>
          <cell r="Y111"/>
          <cell r="Z111"/>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cell r="P112"/>
          <cell r="Q112"/>
          <cell r="R112"/>
          <cell r="S112"/>
          <cell r="T112"/>
          <cell r="U112"/>
          <cell r="V112"/>
          <cell r="W112"/>
          <cell r="X112"/>
          <cell r="Y112"/>
          <cell r="Z112"/>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cell r="BH112"/>
          <cell r="BI112"/>
          <cell r="BJ112"/>
          <cell r="BK112"/>
          <cell r="BL112"/>
          <cell r="BM112"/>
          <cell r="BN112"/>
          <cell r="BO112"/>
          <cell r="BP112"/>
          <cell r="BQ112"/>
          <cell r="BR112"/>
          <cell r="BS112"/>
          <cell r="BT112"/>
          <cell r="BU112"/>
          <cell r="BV112"/>
          <cell r="BW112"/>
          <cell r="BX112"/>
          <cell r="BY112"/>
          <cell r="BZ112"/>
          <cell r="CA112"/>
          <cell r="CB112"/>
          <cell r="CC112"/>
          <cell r="CD112"/>
          <cell r="CE112"/>
          <cell r="CF112"/>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cell r="P113"/>
          <cell r="Q113"/>
          <cell r="R113"/>
          <cell r="S113"/>
          <cell r="T113"/>
          <cell r="U113"/>
          <cell r="V113"/>
          <cell r="W113"/>
          <cell r="X113"/>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cell r="BY113"/>
          <cell r="BZ113"/>
          <cell r="CA113"/>
          <cell r="CB113"/>
          <cell r="CC113"/>
          <cell r="CD113"/>
          <cell r="CE113"/>
          <cell r="CF113"/>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cell r="P114"/>
          <cell r="Q114"/>
          <cell r="R114"/>
          <cell r="S114"/>
          <cell r="T114"/>
          <cell r="U114"/>
          <cell r="V114"/>
          <cell r="W114"/>
          <cell r="X114"/>
          <cell r="Y114"/>
          <cell r="Z114"/>
          <cell r="AA114"/>
          <cell r="AB114"/>
          <cell r="AC114"/>
          <cell r="AD114"/>
          <cell r="AE114"/>
          <cell r="AF114"/>
          <cell r="AG114"/>
          <cell r="AH114"/>
          <cell r="AI114"/>
          <cell r="AJ114"/>
          <cell r="AK114"/>
          <cell r="AL114"/>
          <cell r="AM114"/>
          <cell r="AN114"/>
          <cell r="AO114"/>
          <cell r="AP114"/>
          <cell r="AQ114"/>
          <cell r="AR114"/>
          <cell r="AS114"/>
          <cell r="AT114"/>
          <cell r="AU114"/>
          <cell r="AV114"/>
          <cell r="AW114"/>
          <cell r="AX114"/>
          <cell r="AY114"/>
          <cell r="AZ114"/>
          <cell r="BA114"/>
          <cell r="BB114"/>
          <cell r="BC114"/>
          <cell r="BD114"/>
          <cell r="BE114"/>
          <cell r="BF114"/>
          <cell r="BG114"/>
          <cell r="BH114"/>
          <cell r="BI114"/>
          <cell r="BJ114"/>
          <cell r="BK114"/>
          <cell r="BL114"/>
          <cell r="BM114"/>
          <cell r="BN114"/>
          <cell r="BO114"/>
          <cell r="BP114"/>
          <cell r="BQ114"/>
          <cell r="BR114"/>
          <cell r="BS114"/>
          <cell r="BT114"/>
          <cell r="BU114"/>
          <cell r="BV114"/>
          <cell r="BW114"/>
          <cell r="BX114"/>
          <cell r="BY114"/>
          <cell r="BZ114"/>
          <cell r="CA114"/>
          <cell r="CB114"/>
          <cell r="CC114"/>
          <cell r="CD114"/>
          <cell r="CE114"/>
          <cell r="CF114"/>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cell r="P115"/>
          <cell r="Q115"/>
          <cell r="R115"/>
          <cell r="S115"/>
          <cell r="T115"/>
          <cell r="U115"/>
          <cell r="V115"/>
          <cell r="W115"/>
          <cell r="X115"/>
          <cell r="Y115"/>
          <cell r="Z115"/>
          <cell r="AA115"/>
          <cell r="AB115"/>
          <cell r="AC115"/>
          <cell r="AD115"/>
          <cell r="AE115"/>
          <cell r="AF115"/>
          <cell r="AG115"/>
          <cell r="AH115"/>
          <cell r="AI115"/>
          <cell r="AJ115"/>
          <cell r="AK115"/>
          <cell r="AL115"/>
          <cell r="AM115"/>
          <cell r="AN115"/>
          <cell r="AO115"/>
          <cell r="AP115"/>
          <cell r="AQ115"/>
          <cell r="AR115"/>
          <cell r="AS115"/>
          <cell r="AT115"/>
          <cell r="AU115"/>
          <cell r="AV115"/>
          <cell r="AW115"/>
          <cell r="AX115"/>
          <cell r="AY115"/>
          <cell r="AZ115"/>
          <cell r="BA115"/>
          <cell r="BB115"/>
          <cell r="BC115"/>
          <cell r="BD115"/>
          <cell r="BE115"/>
          <cell r="BF115"/>
          <cell r="BG115"/>
          <cell r="BH115"/>
          <cell r="BI115"/>
          <cell r="BJ115"/>
          <cell r="BK115"/>
          <cell r="BL115"/>
          <cell r="BM115"/>
          <cell r="BN115"/>
          <cell r="BO115"/>
          <cell r="BP115"/>
          <cell r="BQ115"/>
          <cell r="BR115"/>
          <cell r="BS115"/>
          <cell r="BT115"/>
          <cell r="BU115"/>
          <cell r="BV115"/>
          <cell r="BW115"/>
          <cell r="BX115"/>
          <cell r="BY115"/>
          <cell r="BZ115"/>
          <cell r="CA115"/>
          <cell r="CB115"/>
          <cell r="CC115"/>
          <cell r="CD115"/>
          <cell r="CE115"/>
          <cell r="CF115"/>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cell r="P116"/>
          <cell r="Q116"/>
          <cell r="R116"/>
          <cell r="S116"/>
          <cell r="T116"/>
          <cell r="U116"/>
          <cell r="V116"/>
          <cell r="W116"/>
          <cell r="X116"/>
          <cell r="Y116"/>
          <cell r="Z116"/>
          <cell r="AA116"/>
          <cell r="AB116"/>
          <cell r="AC116"/>
          <cell r="AD116"/>
          <cell r="AE116"/>
          <cell r="AF116"/>
          <cell r="AG116"/>
          <cell r="AH116"/>
          <cell r="AI116"/>
          <cell r="AJ116"/>
          <cell r="AK116"/>
          <cell r="AL116"/>
          <cell r="AM116"/>
          <cell r="AN116"/>
          <cell r="AO116"/>
          <cell r="AP116"/>
          <cell r="AQ116"/>
          <cell r="AR116"/>
          <cell r="AS116"/>
          <cell r="AT116"/>
          <cell r="AU116"/>
          <cell r="AV116"/>
          <cell r="AW116"/>
          <cell r="AX116"/>
          <cell r="AY116"/>
          <cell r="AZ116"/>
          <cell r="BA116"/>
          <cell r="BB116"/>
          <cell r="BC116"/>
          <cell r="BD116"/>
          <cell r="BE116"/>
          <cell r="BF116"/>
          <cell r="BG116"/>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cell r="P117"/>
          <cell r="Q117"/>
          <cell r="R117"/>
          <cell r="S117"/>
          <cell r="T117"/>
          <cell r="U117"/>
          <cell r="V117"/>
          <cell r="W117"/>
          <cell r="X117"/>
          <cell r="Y117"/>
          <cell r="Z117"/>
          <cell r="AA117"/>
          <cell r="AB117"/>
          <cell r="AC117"/>
          <cell r="AD117"/>
          <cell r="AE117"/>
          <cell r="AF117"/>
          <cell r="AG117"/>
          <cell r="AH117"/>
          <cell r="AI117"/>
          <cell r="AJ117"/>
          <cell r="AK117"/>
          <cell r="AL117"/>
          <cell r="AM117"/>
          <cell r="AN117"/>
          <cell r="AO117"/>
          <cell r="AP117"/>
          <cell r="AQ117"/>
          <cell r="AR117"/>
          <cell r="AS117"/>
          <cell r="AT117"/>
          <cell r="AU117"/>
          <cell r="AV117"/>
          <cell r="AW117"/>
          <cell r="AX117"/>
          <cell r="AY117"/>
          <cell r="AZ117"/>
          <cell r="BA117"/>
          <cell r="BB117"/>
          <cell r="BC117"/>
          <cell r="BD117"/>
          <cell r="BE117"/>
          <cell r="BF117"/>
          <cell r="BG117"/>
          <cell r="BH117"/>
          <cell r="BI117"/>
          <cell r="BJ117"/>
          <cell r="BK117"/>
          <cell r="BL117"/>
          <cell r="BM117"/>
          <cell r="BN117"/>
          <cell r="BO117"/>
          <cell r="BP117"/>
          <cell r="BQ117"/>
          <cell r="BR117"/>
          <cell r="BS117"/>
          <cell r="BT117"/>
          <cell r="BU117"/>
          <cell r="BV117"/>
          <cell r="BW117"/>
          <cell r="BX117"/>
          <cell r="BY117"/>
          <cell r="BZ117"/>
          <cell r="CA117"/>
          <cell r="CB117"/>
          <cell r="CC117"/>
          <cell r="CD117"/>
          <cell r="CE117"/>
          <cell r="CF117"/>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cell r="P118"/>
          <cell r="Q118"/>
          <cell r="R118"/>
          <cell r="S118"/>
          <cell r="T118"/>
          <cell r="U118"/>
          <cell r="V118"/>
          <cell r="W118"/>
          <cell r="X118"/>
          <cell r="Y118"/>
          <cell r="Z118"/>
          <cell r="AA118"/>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cell r="AZ118"/>
          <cell r="BA118"/>
          <cell r="BB118"/>
          <cell r="BC118"/>
          <cell r="BD118"/>
          <cell r="BE118"/>
          <cell r="BF118"/>
          <cell r="BG118"/>
          <cell r="BH118"/>
          <cell r="BI118"/>
          <cell r="BJ118"/>
          <cell r="BK118"/>
          <cell r="BL118"/>
          <cell r="BM118"/>
          <cell r="BN118"/>
          <cell r="BO118"/>
          <cell r="BP118"/>
          <cell r="BQ118"/>
          <cell r="BR118"/>
          <cell r="BS118"/>
          <cell r="BT118"/>
          <cell r="BU118"/>
          <cell r="BV118"/>
          <cell r="BW118"/>
          <cell r="BX118"/>
          <cell r="BY118"/>
          <cell r="BZ118"/>
          <cell r="CA118"/>
          <cell r="CB118"/>
          <cell r="CC118"/>
          <cell r="CD118"/>
          <cell r="CE118"/>
          <cell r="CF118"/>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cell r="P119"/>
          <cell r="Q119"/>
          <cell r="R119"/>
          <cell r="S119"/>
          <cell r="T119"/>
          <cell r="U119"/>
          <cell r="V119"/>
          <cell r="W119"/>
          <cell r="X119"/>
          <cell r="Y119"/>
          <cell r="Z119"/>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cell r="BK119"/>
          <cell r="BL119"/>
          <cell r="BM119"/>
          <cell r="BN119"/>
          <cell r="BO119"/>
          <cell r="BP119"/>
          <cell r="BQ119"/>
          <cell r="BR119"/>
          <cell r="BS119"/>
          <cell r="BT119"/>
          <cell r="BU119"/>
          <cell r="BV119"/>
          <cell r="BW119"/>
          <cell r="BX119"/>
          <cell r="BY119"/>
          <cell r="BZ119"/>
          <cell r="CA119"/>
          <cell r="CB119"/>
          <cell r="CC119"/>
          <cell r="CD119"/>
          <cell r="CE119"/>
          <cell r="CF119"/>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cell r="P120"/>
          <cell r="Q120"/>
          <cell r="R120"/>
          <cell r="S120"/>
          <cell r="T120"/>
          <cell r="U120"/>
          <cell r="V120"/>
          <cell r="W120"/>
          <cell r="X120"/>
          <cell r="Y120"/>
          <cell r="Z120"/>
          <cell r="AA120"/>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cell r="BH120"/>
          <cell r="BI120"/>
          <cell r="BJ120"/>
          <cell r="BK120"/>
          <cell r="BL120"/>
          <cell r="BM120"/>
          <cell r="BN120"/>
          <cell r="BO120"/>
          <cell r="BP120"/>
          <cell r="BQ120"/>
          <cell r="BR120"/>
          <cell r="BS120"/>
          <cell r="BT120"/>
          <cell r="BU120"/>
          <cell r="BV120"/>
          <cell r="BW120"/>
          <cell r="BX120"/>
          <cell r="BY120"/>
          <cell r="BZ120"/>
          <cell r="CA120"/>
          <cell r="CB120"/>
          <cell r="CC120"/>
          <cell r="CD120"/>
          <cell r="CE120"/>
          <cell r="CF120"/>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cell r="P121"/>
          <cell r="Q121"/>
          <cell r="R121"/>
          <cell r="S121"/>
          <cell r="T121"/>
          <cell r="U121"/>
          <cell r="V121"/>
          <cell r="W121"/>
          <cell r="X121"/>
          <cell r="Y121"/>
          <cell r="Z121"/>
          <cell r="AA121"/>
          <cell r="AB121"/>
          <cell r="AC121"/>
          <cell r="AD121"/>
          <cell r="AE121"/>
          <cell r="AF121"/>
          <cell r="AG121"/>
          <cell r="AH121"/>
          <cell r="AI121"/>
          <cell r="AJ121"/>
          <cell r="AK121"/>
          <cell r="AL121"/>
          <cell r="AM121"/>
          <cell r="AN121"/>
          <cell r="AO121"/>
          <cell r="AP121"/>
          <cell r="AQ121"/>
          <cell r="AR121"/>
          <cell r="AS121"/>
          <cell r="AT121"/>
          <cell r="AU121"/>
          <cell r="AV121"/>
          <cell r="AW121"/>
          <cell r="AX121"/>
          <cell r="AY121"/>
          <cell r="AZ121"/>
          <cell r="BA121"/>
          <cell r="BB121"/>
          <cell r="BC121"/>
          <cell r="BD121"/>
          <cell r="BE121"/>
          <cell r="BF121"/>
          <cell r="BG121"/>
          <cell r="BH121"/>
          <cell r="BI121"/>
          <cell r="BJ121"/>
          <cell r="BK121"/>
          <cell r="BL121"/>
          <cell r="BM121"/>
          <cell r="BN121"/>
          <cell r="BO121"/>
          <cell r="BP121"/>
          <cell r="BQ121"/>
          <cell r="BR121"/>
          <cell r="BS121"/>
          <cell r="BT121"/>
          <cell r="BU121"/>
          <cell r="BV121"/>
          <cell r="BW121"/>
          <cell r="BX121"/>
          <cell r="BY121"/>
          <cell r="BZ121"/>
          <cell r="CA121"/>
          <cell r="CB121"/>
          <cell r="CC121"/>
          <cell r="CD121"/>
          <cell r="CE121"/>
          <cell r="CF121"/>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cell r="P122"/>
          <cell r="Q122"/>
          <cell r="R122"/>
          <cell r="S122"/>
          <cell r="T122"/>
          <cell r="U122"/>
          <cell r="V122"/>
          <cell r="W122"/>
          <cell r="X122"/>
          <cell r="Y122"/>
          <cell r="Z122"/>
          <cell r="AA122"/>
          <cell r="AB122"/>
          <cell r="AC122"/>
          <cell r="AD122"/>
          <cell r="AE122"/>
          <cell r="AF122"/>
          <cell r="AG122"/>
          <cell r="AH122"/>
          <cell r="AI122"/>
          <cell r="AJ122"/>
          <cell r="AK122"/>
          <cell r="AL122"/>
          <cell r="AM122"/>
          <cell r="AN122"/>
          <cell r="AO122"/>
          <cell r="AP122"/>
          <cell r="AQ122"/>
          <cell r="AR122"/>
          <cell r="AS122"/>
          <cell r="AT122"/>
          <cell r="AU122"/>
          <cell r="AV122"/>
          <cell r="AW122"/>
          <cell r="AX122"/>
          <cell r="AY122"/>
          <cell r="AZ122"/>
          <cell r="BA122"/>
          <cell r="BB122"/>
          <cell r="BC122"/>
          <cell r="BD122"/>
          <cell r="BE122"/>
          <cell r="BF122"/>
          <cell r="BG122"/>
          <cell r="BH122"/>
          <cell r="BI122"/>
          <cell r="BJ122"/>
          <cell r="BK122"/>
          <cell r="BL122"/>
          <cell r="BM122"/>
          <cell r="BN122"/>
          <cell r="BO122"/>
          <cell r="BP122"/>
          <cell r="BQ122"/>
          <cell r="BR122"/>
          <cell r="BS122"/>
          <cell r="BT122"/>
          <cell r="BU122"/>
          <cell r="BV122"/>
          <cell r="BW122"/>
          <cell r="BX122"/>
          <cell r="BY122"/>
          <cell r="BZ122"/>
          <cell r="CA122"/>
          <cell r="CB122"/>
          <cell r="CC122"/>
          <cell r="CD122"/>
          <cell r="CE122"/>
          <cell r="CF122"/>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cell r="P123"/>
          <cell r="Q123"/>
          <cell r="R123"/>
          <cell r="S123"/>
          <cell r="T123"/>
          <cell r="U123"/>
          <cell r="V123"/>
          <cell r="W123"/>
          <cell r="X123"/>
          <cell r="Y123"/>
          <cell r="Z123"/>
          <cell r="AA123"/>
          <cell r="AB123"/>
          <cell r="AC123"/>
          <cell r="AD123"/>
          <cell r="AE123"/>
          <cell r="AF123"/>
          <cell r="AG123"/>
          <cell r="AH123"/>
          <cell r="AI123"/>
          <cell r="AJ123"/>
          <cell r="AK123"/>
          <cell r="AL123"/>
          <cell r="AM123"/>
          <cell r="AN123"/>
          <cell r="AO123"/>
          <cell r="AP123"/>
          <cell r="AQ123"/>
          <cell r="AR123"/>
          <cell r="AS123"/>
          <cell r="AT123"/>
          <cell r="AU123"/>
          <cell r="AV123"/>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cell r="CE123"/>
          <cell r="CF123"/>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cell r="P124"/>
          <cell r="Q124"/>
          <cell r="R124"/>
          <cell r="S124"/>
          <cell r="T124"/>
          <cell r="U124"/>
          <cell r="V124"/>
          <cell r="W124"/>
          <cell r="X124"/>
          <cell r="Y124"/>
          <cell r="Z124"/>
          <cell r="AA124"/>
          <cell r="AB124"/>
          <cell r="AC124"/>
          <cell r="AD124"/>
          <cell r="AE124"/>
          <cell r="AF124"/>
          <cell r="AG124"/>
          <cell r="AH124"/>
          <cell r="AI124"/>
          <cell r="AJ124"/>
          <cell r="AK124"/>
          <cell r="AL124"/>
          <cell r="AM124"/>
          <cell r="AN124"/>
          <cell r="AO124"/>
          <cell r="AP124"/>
          <cell r="AQ124"/>
          <cell r="AR124"/>
          <cell r="AS124"/>
          <cell r="AT124"/>
          <cell r="AU124"/>
          <cell r="AV124"/>
          <cell r="AW124"/>
          <cell r="AX124"/>
          <cell r="AY124"/>
          <cell r="AZ124"/>
          <cell r="BA124"/>
          <cell r="BB124"/>
          <cell r="BC124"/>
          <cell r="BD124"/>
          <cell r="BE124"/>
          <cell r="BF124"/>
          <cell r="BG124"/>
          <cell r="BH124"/>
          <cell r="BI124"/>
          <cell r="BJ124"/>
          <cell r="BK124"/>
          <cell r="BL124"/>
          <cell r="BM124"/>
          <cell r="BN124"/>
          <cell r="BO124"/>
          <cell r="BP124"/>
          <cell r="BQ124"/>
          <cell r="BR124"/>
          <cell r="BS124"/>
          <cell r="BT124"/>
          <cell r="BU124"/>
          <cell r="BV124"/>
          <cell r="BW124"/>
          <cell r="BX124"/>
          <cell r="BY124"/>
          <cell r="BZ124"/>
          <cell r="CA124"/>
          <cell r="CB124"/>
          <cell r="CC124"/>
          <cell r="CD124"/>
          <cell r="CE124"/>
          <cell r="CF124"/>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cell r="P125"/>
          <cell r="Q125"/>
          <cell r="R125"/>
          <cell r="S125"/>
          <cell r="T125"/>
          <cell r="U125"/>
          <cell r="V125"/>
          <cell r="W125"/>
          <cell r="X125"/>
          <cell r="Y125"/>
          <cell r="Z125"/>
          <cell r="AA125"/>
          <cell r="AB125"/>
          <cell r="AC125"/>
          <cell r="AD125"/>
          <cell r="AE125"/>
          <cell r="AF125"/>
          <cell r="AG125"/>
          <cell r="AH125"/>
          <cell r="AI125"/>
          <cell r="AJ125"/>
          <cell r="AK125"/>
          <cell r="AL125"/>
          <cell r="AM125"/>
          <cell r="AN125"/>
          <cell r="AO125"/>
          <cell r="AP125"/>
          <cell r="AQ125"/>
          <cell r="AR125"/>
          <cell r="AS125"/>
          <cell r="AT125"/>
          <cell r="AU125"/>
          <cell r="AV125"/>
          <cell r="AW125"/>
          <cell r="AX125"/>
          <cell r="AY125"/>
          <cell r="AZ125"/>
          <cell r="BA125"/>
          <cell r="BB125"/>
          <cell r="BC125"/>
          <cell r="BD125"/>
          <cell r="BE125"/>
          <cell r="BF125"/>
          <cell r="BG125"/>
          <cell r="BH125"/>
          <cell r="BI125"/>
          <cell r="BJ125"/>
          <cell r="BK125"/>
          <cell r="BL125"/>
          <cell r="BM125"/>
          <cell r="BN125"/>
          <cell r="BO125"/>
          <cell r="BP125"/>
          <cell r="BQ125"/>
          <cell r="BR125"/>
          <cell r="BS125"/>
          <cell r="BT125"/>
          <cell r="BU125"/>
          <cell r="BV125"/>
          <cell r="BW125"/>
          <cell r="BX125"/>
          <cell r="BY125"/>
          <cell r="BZ125"/>
          <cell r="CA125"/>
          <cell r="CB125"/>
          <cell r="CC125"/>
          <cell r="CD125"/>
          <cell r="CE125"/>
          <cell r="CF125"/>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cell r="P126"/>
          <cell r="Q126"/>
          <cell r="R126"/>
          <cell r="S126"/>
          <cell r="T126"/>
          <cell r="U126"/>
          <cell r="V126"/>
          <cell r="W126"/>
          <cell r="X126"/>
          <cell r="Y126"/>
          <cell r="Z126"/>
          <cell r="AA126"/>
          <cell r="AB126"/>
          <cell r="AC126"/>
          <cell r="AD126"/>
          <cell r="AE126"/>
          <cell r="AF126"/>
          <cell r="AG126"/>
          <cell r="AH126"/>
          <cell r="AI126"/>
          <cell r="AJ126"/>
          <cell r="AK126"/>
          <cell r="AL126"/>
          <cell r="AM126"/>
          <cell r="AN126"/>
          <cell r="AO126"/>
          <cell r="AP126"/>
          <cell r="AQ126"/>
          <cell r="AR126"/>
          <cell r="AS126"/>
          <cell r="AT126"/>
          <cell r="AU126"/>
          <cell r="AV126"/>
          <cell r="AW126"/>
          <cell r="AX126"/>
          <cell r="AY126"/>
          <cell r="AZ126"/>
          <cell r="BA126"/>
          <cell r="BB126"/>
          <cell r="BC126"/>
          <cell r="BD126"/>
          <cell r="BE126"/>
          <cell r="BF126"/>
          <cell r="BG126"/>
          <cell r="BH126"/>
          <cell r="BI126"/>
          <cell r="BJ126"/>
          <cell r="BK126"/>
          <cell r="BL126"/>
          <cell r="BM126"/>
          <cell r="BN126"/>
          <cell r="BO126"/>
          <cell r="BP126"/>
          <cell r="BQ126"/>
          <cell r="BR126"/>
          <cell r="BS126"/>
          <cell r="BT126"/>
          <cell r="BU126"/>
          <cell r="BV126"/>
          <cell r="BW126"/>
          <cell r="BX126"/>
          <cell r="BY126"/>
          <cell r="BZ126"/>
          <cell r="CA126"/>
          <cell r="CB126"/>
          <cell r="CC126"/>
          <cell r="CD126"/>
          <cell r="CE126"/>
          <cell r="CF126"/>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cell r="P127"/>
          <cell r="Q127"/>
          <cell r="R127"/>
          <cell r="S127"/>
          <cell r="T127"/>
          <cell r="U127"/>
          <cell r="V127"/>
          <cell r="W127"/>
          <cell r="X127"/>
          <cell r="Y127"/>
          <cell r="Z127"/>
          <cell r="AA127"/>
          <cell r="AB127"/>
          <cell r="AC127"/>
          <cell r="AD127"/>
          <cell r="AE127"/>
          <cell r="AF127"/>
          <cell r="AG127"/>
          <cell r="AH127"/>
          <cell r="AI127"/>
          <cell r="AJ127"/>
          <cell r="AK127"/>
          <cell r="AL127"/>
          <cell r="AM127"/>
          <cell r="AN127"/>
          <cell r="AO127"/>
          <cell r="AP127"/>
          <cell r="AQ127"/>
          <cell r="AR127"/>
          <cell r="AS127"/>
          <cell r="AT127"/>
          <cell r="AU127"/>
          <cell r="AV127"/>
          <cell r="AW127"/>
          <cell r="AX127"/>
          <cell r="AY127"/>
          <cell r="AZ127"/>
          <cell r="BA127"/>
          <cell r="BB127"/>
          <cell r="BC127"/>
          <cell r="BD127"/>
          <cell r="BE127"/>
          <cell r="BF127"/>
          <cell r="BG127"/>
          <cell r="BH127"/>
          <cell r="BI127"/>
          <cell r="BJ127"/>
          <cell r="BK127"/>
          <cell r="BL127"/>
          <cell r="BM127"/>
          <cell r="BN127"/>
          <cell r="BO127"/>
          <cell r="BP127"/>
          <cell r="BQ127"/>
          <cell r="BR127"/>
          <cell r="BS127"/>
          <cell r="BT127"/>
          <cell r="BU127"/>
          <cell r="BV127"/>
          <cell r="BW127"/>
          <cell r="BX127"/>
          <cell r="BY127"/>
          <cell r="BZ127"/>
          <cell r="CA127"/>
          <cell r="CB127"/>
          <cell r="CC127"/>
          <cell r="CD127"/>
          <cell r="CE127"/>
          <cell r="CF127"/>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cell r="AP128"/>
          <cell r="AQ128"/>
          <cell r="AR128"/>
          <cell r="AS128"/>
          <cell r="AT128"/>
          <cell r="AU128"/>
          <cell r="AV128"/>
          <cell r="AW128"/>
          <cell r="AX128"/>
          <cell r="AY128"/>
          <cell r="AZ128"/>
          <cell r="BA128"/>
          <cell r="BB128"/>
          <cell r="BC128"/>
          <cell r="BD128"/>
          <cell r="BE128"/>
          <cell r="BF128"/>
          <cell r="BG128"/>
          <cell r="BH128"/>
          <cell r="BI128"/>
          <cell r="BJ128"/>
          <cell r="BK128"/>
          <cell r="BL128"/>
          <cell r="BM128"/>
          <cell r="BN128"/>
          <cell r="BO128"/>
          <cell r="BP128"/>
          <cell r="BQ128"/>
          <cell r="BR128"/>
          <cell r="BS128"/>
          <cell r="BT128"/>
          <cell r="BU128"/>
          <cell r="BV128"/>
          <cell r="BW128"/>
          <cell r="BX128"/>
          <cell r="BY128"/>
          <cell r="BZ128"/>
          <cell r="CA128"/>
          <cell r="CB128"/>
          <cell r="CC128"/>
          <cell r="CD128"/>
          <cell r="CE128"/>
          <cell r="CF128"/>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cell r="AP129"/>
          <cell r="AQ129"/>
          <cell r="AR129"/>
          <cell r="AS129"/>
          <cell r="AT129"/>
          <cell r="AU129"/>
          <cell r="AV129"/>
          <cell r="AW129"/>
          <cell r="AX129"/>
          <cell r="AY129"/>
          <cell r="AZ129"/>
          <cell r="BA129"/>
          <cell r="BB129"/>
          <cell r="BC129"/>
          <cell r="BD129"/>
          <cell r="BE129"/>
          <cell r="BF129"/>
          <cell r="BG129"/>
          <cell r="BH129"/>
          <cell r="BI129"/>
          <cell r="BJ129"/>
          <cell r="BK129"/>
          <cell r="BL129"/>
          <cell r="BM129"/>
          <cell r="BN129"/>
          <cell r="BO129"/>
          <cell r="BP129"/>
          <cell r="BQ129"/>
          <cell r="BR129"/>
          <cell r="BS129"/>
          <cell r="BT129"/>
          <cell r="BU129"/>
          <cell r="BV129"/>
          <cell r="BW129"/>
          <cell r="BX129"/>
          <cell r="BY129"/>
          <cell r="BZ129"/>
          <cell r="CA129"/>
          <cell r="CB129"/>
          <cell r="CC129"/>
          <cell r="CD129"/>
          <cell r="CE129"/>
          <cell r="CF129"/>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cell r="P130"/>
          <cell r="Q130"/>
          <cell r="R130"/>
          <cell r="S130"/>
          <cell r="T130"/>
          <cell r="U130"/>
          <cell r="V130"/>
          <cell r="W130"/>
          <cell r="X130"/>
          <cell r="Y130"/>
          <cell r="Z130"/>
          <cell r="AA130"/>
          <cell r="AB130"/>
          <cell r="AC130"/>
          <cell r="AD130"/>
          <cell r="AE130"/>
          <cell r="AF130"/>
          <cell r="AG130"/>
          <cell r="AH130"/>
          <cell r="AI130"/>
          <cell r="AJ130"/>
          <cell r="AK130"/>
          <cell r="AL130"/>
          <cell r="AM130"/>
          <cell r="AN130"/>
          <cell r="AO130"/>
          <cell r="AP130"/>
          <cell r="AQ130"/>
          <cell r="AR130"/>
          <cell r="AS130"/>
          <cell r="AT130"/>
          <cell r="AU130"/>
          <cell r="AV130"/>
          <cell r="AW130"/>
          <cell r="AX130"/>
          <cell r="AY130"/>
          <cell r="AZ130"/>
          <cell r="BA130"/>
          <cell r="BB130"/>
          <cell r="BC130"/>
          <cell r="BD130"/>
          <cell r="BE130"/>
          <cell r="BF130"/>
          <cell r="BG130"/>
          <cell r="BH130"/>
          <cell r="BI130"/>
          <cell r="BJ130"/>
          <cell r="BK130"/>
          <cell r="BL130"/>
          <cell r="BM130"/>
          <cell r="BN130"/>
          <cell r="BO130"/>
          <cell r="BP130"/>
          <cell r="BQ130"/>
          <cell r="BR130"/>
          <cell r="BS130"/>
          <cell r="BT130"/>
          <cell r="BU130"/>
          <cell r="BV130"/>
          <cell r="BW130"/>
          <cell r="BX130"/>
          <cell r="BY130"/>
          <cell r="BZ130"/>
          <cell r="CA130"/>
          <cell r="CB130"/>
          <cell r="CC130"/>
          <cell r="CD130"/>
          <cell r="CE130"/>
          <cell r="CF130"/>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cell r="P131"/>
          <cell r="Q131"/>
          <cell r="R131"/>
          <cell r="S131"/>
          <cell r="T131"/>
          <cell r="U131"/>
          <cell r="V131"/>
          <cell r="W131"/>
          <cell r="X131"/>
          <cell r="Y131"/>
          <cell r="Z131"/>
          <cell r="AA131"/>
          <cell r="AB131"/>
          <cell r="AC131"/>
          <cell r="AD131"/>
          <cell r="AE131"/>
          <cell r="AF131"/>
          <cell r="AG131"/>
          <cell r="AH131"/>
          <cell r="AI131"/>
          <cell r="AJ131"/>
          <cell r="AK131"/>
          <cell r="AL131"/>
          <cell r="AM131"/>
          <cell r="AN131"/>
          <cell r="AO131"/>
          <cell r="AP131"/>
          <cell r="AQ131"/>
          <cell r="AR131"/>
          <cell r="AS131"/>
          <cell r="AT131"/>
          <cell r="AU131"/>
          <cell r="AV131"/>
          <cell r="AW131"/>
          <cell r="AX131"/>
          <cell r="AY131"/>
          <cell r="AZ131"/>
          <cell r="BA131"/>
          <cell r="BB131"/>
          <cell r="BC131"/>
          <cell r="BD131"/>
          <cell r="BE131"/>
          <cell r="BF131"/>
          <cell r="BG131"/>
          <cell r="BH131"/>
          <cell r="BI131"/>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cell r="P132"/>
          <cell r="Q132"/>
          <cell r="R132"/>
          <cell r="S132"/>
          <cell r="T132"/>
          <cell r="U132"/>
          <cell r="V132"/>
          <cell r="W132"/>
          <cell r="X132"/>
          <cell r="Y132"/>
          <cell r="Z132"/>
          <cell r="AA132"/>
          <cell r="AB132"/>
          <cell r="AC132"/>
          <cell r="AD132"/>
          <cell r="AE132"/>
          <cell r="AF132"/>
          <cell r="AG132"/>
          <cell r="AH132"/>
          <cell r="AI132"/>
          <cell r="AJ132"/>
          <cell r="AK132"/>
          <cell r="AL132"/>
          <cell r="AM132"/>
          <cell r="AN132"/>
          <cell r="AO132"/>
          <cell r="AP132"/>
          <cell r="AQ132"/>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cell r="BS132"/>
          <cell r="BT132"/>
          <cell r="BU132"/>
          <cell r="BV132"/>
          <cell r="BW132"/>
          <cell r="BX132"/>
          <cell r="BY132"/>
          <cell r="BZ132"/>
          <cell r="CA132"/>
          <cell r="CB132"/>
          <cell r="CC132"/>
          <cell r="CD132"/>
          <cell r="CE132"/>
          <cell r="CF132"/>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cell r="P133"/>
          <cell r="Q133"/>
          <cell r="R133"/>
          <cell r="S133"/>
          <cell r="T133"/>
          <cell r="U133"/>
          <cell r="V133"/>
          <cell r="W133"/>
          <cell r="X133"/>
          <cell r="Y133"/>
          <cell r="Z133"/>
          <cell r="AA133"/>
          <cell r="AB133"/>
          <cell r="AC133"/>
          <cell r="AD133"/>
          <cell r="AE133"/>
          <cell r="AF133"/>
          <cell r="AG133"/>
          <cell r="AH133"/>
          <cell r="AI133"/>
          <cell r="AJ133"/>
          <cell r="AK133"/>
          <cell r="AL133"/>
          <cell r="AM133"/>
          <cell r="AN133"/>
          <cell r="AO133"/>
          <cell r="AP133"/>
          <cell r="AQ133"/>
          <cell r="AR133"/>
          <cell r="AS133"/>
          <cell r="AT133"/>
          <cell r="AU133"/>
          <cell r="AV133"/>
          <cell r="AW133"/>
          <cell r="AX133"/>
          <cell r="AY133"/>
          <cell r="AZ133"/>
          <cell r="BA133"/>
          <cell r="BB133"/>
          <cell r="BC133"/>
          <cell r="BD133"/>
          <cell r="BE133"/>
          <cell r="BF133"/>
          <cell r="BG133"/>
          <cell r="BH133"/>
          <cell r="BI133"/>
          <cell r="BJ133"/>
          <cell r="BK133"/>
          <cell r="BL133"/>
          <cell r="BM133"/>
          <cell r="BN133"/>
          <cell r="BO133"/>
          <cell r="BP133"/>
          <cell r="BQ133"/>
          <cell r="BR133"/>
          <cell r="BS133"/>
          <cell r="BT133"/>
          <cell r="BU133"/>
          <cell r="BV133"/>
          <cell r="BW133"/>
          <cell r="BX133"/>
          <cell r="BY133"/>
          <cell r="BZ133"/>
          <cell r="CA133"/>
          <cell r="CB133"/>
          <cell r="CC133"/>
          <cell r="CD133"/>
          <cell r="CE133"/>
          <cell r="CF133"/>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cell r="P134"/>
          <cell r="Q134"/>
          <cell r="R134"/>
          <cell r="S134"/>
          <cell r="T134"/>
          <cell r="U134"/>
          <cell r="V134"/>
          <cell r="W134"/>
          <cell r="X134"/>
          <cell r="Y134"/>
          <cell r="Z134"/>
          <cell r="AA134"/>
          <cell r="AB134"/>
          <cell r="AC134"/>
          <cell r="AD134"/>
          <cell r="AE134"/>
          <cell r="AF134"/>
          <cell r="AG134"/>
          <cell r="AH134"/>
          <cell r="AI134"/>
          <cell r="AJ134"/>
          <cell r="AK134"/>
          <cell r="AL134"/>
          <cell r="AM134"/>
          <cell r="AN134"/>
          <cell r="AO134"/>
          <cell r="AP134"/>
          <cell r="AQ134"/>
          <cell r="AR134"/>
          <cell r="AS134"/>
          <cell r="AT134"/>
          <cell r="AU134"/>
          <cell r="AV134"/>
          <cell r="AW134"/>
          <cell r="AX134"/>
          <cell r="AY134"/>
          <cell r="AZ134"/>
          <cell r="BA134"/>
          <cell r="BB134"/>
          <cell r="BC134"/>
          <cell r="BD134"/>
          <cell r="BE134"/>
          <cell r="BF134"/>
          <cell r="BG134"/>
          <cell r="BH134"/>
          <cell r="BI134"/>
          <cell r="BJ134"/>
          <cell r="BK134"/>
          <cell r="BL134"/>
          <cell r="BM134"/>
          <cell r="BN134"/>
          <cell r="BO134"/>
          <cell r="BP134"/>
          <cell r="BQ134"/>
          <cell r="BR134"/>
          <cell r="BS134"/>
          <cell r="BT134"/>
          <cell r="BU134"/>
          <cell r="BV134"/>
          <cell r="BW134"/>
          <cell r="BX134"/>
          <cell r="BY134"/>
          <cell r="BZ134"/>
          <cell r="CA134"/>
          <cell r="CB134"/>
          <cell r="CC134"/>
          <cell r="CD134"/>
          <cell r="CE134"/>
          <cell r="CF134"/>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cell r="P135"/>
          <cell r="Q135"/>
          <cell r="R135"/>
          <cell r="S135"/>
          <cell r="T135"/>
          <cell r="U135"/>
          <cell r="V135"/>
          <cell r="W135"/>
          <cell r="X135"/>
          <cell r="Y135"/>
          <cell r="Z135"/>
          <cell r="AA135"/>
          <cell r="AB135"/>
          <cell r="AC135"/>
          <cell r="AD135"/>
          <cell r="AE135"/>
          <cell r="AF135"/>
          <cell r="AG135"/>
          <cell r="AH135"/>
          <cell r="AI135"/>
          <cell r="AJ135"/>
          <cell r="AK135"/>
          <cell r="AL135"/>
          <cell r="AM135"/>
          <cell r="AN135"/>
          <cell r="AO135"/>
          <cell r="AP135"/>
          <cell r="AQ135"/>
          <cell r="AR135"/>
          <cell r="AS135"/>
          <cell r="AT135"/>
          <cell r="AU135"/>
          <cell r="AV135"/>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cell r="BU135"/>
          <cell r="BV135"/>
          <cell r="BW135"/>
          <cell r="BX135"/>
          <cell r="BY135"/>
          <cell r="BZ135"/>
          <cell r="CA135"/>
          <cell r="CB135"/>
          <cell r="CC135"/>
          <cell r="CD135"/>
          <cell r="CE135"/>
          <cell r="CF135"/>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cell r="P136"/>
          <cell r="Q136"/>
          <cell r="R136"/>
          <cell r="S136"/>
          <cell r="T136"/>
          <cell r="U136"/>
          <cell r="V136"/>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I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cell r="P137"/>
          <cell r="Q137"/>
          <cell r="R137"/>
          <cell r="S137"/>
          <cell r="T137"/>
          <cell r="U137"/>
          <cell r="V137"/>
          <cell r="W137"/>
          <cell r="X137"/>
          <cell r="Y137"/>
          <cell r="Z137"/>
          <cell r="AA137"/>
          <cell r="AB137"/>
          <cell r="AC137"/>
          <cell r="AD137"/>
          <cell r="AE137"/>
          <cell r="AF137"/>
          <cell r="AG137"/>
          <cell r="AH137"/>
          <cell r="AI137"/>
          <cell r="AJ137"/>
          <cell r="AK137"/>
          <cell r="AL137"/>
          <cell r="AM137"/>
          <cell r="AN137"/>
          <cell r="AO137"/>
          <cell r="AP137"/>
          <cell r="AQ137"/>
          <cell r="AR137"/>
          <cell r="AS137"/>
          <cell r="AT137"/>
          <cell r="AU137"/>
          <cell r="AV137"/>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cell r="P138"/>
          <cell r="Q138"/>
          <cell r="R138"/>
          <cell r="S138"/>
          <cell r="T138"/>
          <cell r="U138"/>
          <cell r="V138"/>
          <cell r="W138"/>
          <cell r="X138"/>
          <cell r="Y138"/>
          <cell r="Z138"/>
          <cell r="AA138"/>
          <cell r="AB138"/>
          <cell r="AC138"/>
          <cell r="AD138"/>
          <cell r="AE138"/>
          <cell r="AF138"/>
          <cell r="AG138"/>
          <cell r="AH138"/>
          <cell r="AI138"/>
          <cell r="AJ138"/>
          <cell r="AK138"/>
          <cell r="AL138"/>
          <cell r="AM138"/>
          <cell r="AN138"/>
          <cell r="AO138"/>
          <cell r="AP138"/>
          <cell r="AQ138"/>
          <cell r="AR138"/>
          <cell r="AS138"/>
          <cell r="AT138"/>
          <cell r="AU138"/>
          <cell r="AV138"/>
          <cell r="AW138"/>
          <cell r="AX138"/>
          <cell r="AY138"/>
          <cell r="AZ138"/>
          <cell r="BA138"/>
          <cell r="BB138"/>
          <cell r="BC138"/>
          <cell r="BD138"/>
          <cell r="BE138"/>
          <cell r="BF138"/>
          <cell r="BG138"/>
          <cell r="BH138"/>
          <cell r="BI138"/>
          <cell r="BJ138"/>
          <cell r="BK138"/>
          <cell r="BL138"/>
          <cell r="BM138"/>
          <cell r="BN138"/>
          <cell r="BO138"/>
          <cell r="BP138"/>
          <cell r="BQ138"/>
          <cell r="BR138"/>
          <cell r="BS138"/>
          <cell r="BT138"/>
          <cell r="BU138"/>
          <cell r="BV138"/>
          <cell r="BW138"/>
          <cell r="BX138"/>
          <cell r="BY138"/>
          <cell r="BZ138"/>
          <cell r="CA138"/>
          <cell r="CB138"/>
          <cell r="CC138"/>
          <cell r="CD138"/>
          <cell r="CE138"/>
          <cell r="CF138"/>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cell r="P139"/>
          <cell r="Q139"/>
          <cell r="R139"/>
          <cell r="S139"/>
          <cell r="T139"/>
          <cell r="U139"/>
          <cell r="V139"/>
          <cell r="W139"/>
          <cell r="X139"/>
          <cell r="Y139"/>
          <cell r="Z139"/>
          <cell r="AA139"/>
          <cell r="AB139"/>
          <cell r="AC139"/>
          <cell r="AD139"/>
          <cell r="AE139"/>
          <cell r="AF139"/>
          <cell r="AG139"/>
          <cell r="AH139"/>
          <cell r="AI139"/>
          <cell r="AJ139"/>
          <cell r="AK139"/>
          <cell r="AL139"/>
          <cell r="AM139"/>
          <cell r="AN139"/>
          <cell r="AO139"/>
          <cell r="AP139"/>
          <cell r="AQ139"/>
          <cell r="AR139"/>
          <cell r="AS139"/>
          <cell r="AT139"/>
          <cell r="AU139"/>
          <cell r="AV139"/>
          <cell r="AW139"/>
          <cell r="AX139"/>
          <cell r="AY139"/>
          <cell r="AZ139"/>
          <cell r="BA139"/>
          <cell r="BB139"/>
          <cell r="BC139"/>
          <cell r="BD139"/>
          <cell r="BE139"/>
          <cell r="BF139"/>
          <cell r="BG139"/>
          <cell r="BH139"/>
          <cell r="BI139"/>
          <cell r="BJ139"/>
          <cell r="BK139"/>
          <cell r="BL139"/>
          <cell r="BM139"/>
          <cell r="BN139"/>
          <cell r="BO139"/>
          <cell r="BP139"/>
          <cell r="BQ139"/>
          <cell r="BR139"/>
          <cell r="BS139"/>
          <cell r="BT139"/>
          <cell r="BU139"/>
          <cell r="BV139"/>
          <cell r="BW139"/>
          <cell r="BX139"/>
          <cell r="BY139"/>
          <cell r="BZ139"/>
          <cell r="CA139"/>
          <cell r="CB139"/>
          <cell r="CC139"/>
          <cell r="CD139"/>
          <cell r="CE139"/>
          <cell r="CF139"/>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cell r="P140"/>
          <cell r="Q140"/>
          <cell r="R140"/>
          <cell r="S140"/>
          <cell r="T140"/>
          <cell r="U140"/>
          <cell r="V140"/>
          <cell r="W140"/>
          <cell r="X140"/>
          <cell r="Y140"/>
          <cell r="Z140"/>
          <cell r="AA140"/>
          <cell r="AB140"/>
          <cell r="AC140"/>
          <cell r="AD140"/>
          <cell r="AE140"/>
          <cell r="AF140"/>
          <cell r="AG140"/>
          <cell r="AH140"/>
          <cell r="AI140"/>
          <cell r="AJ140"/>
          <cell r="AK140"/>
          <cell r="AL140"/>
          <cell r="AM140"/>
          <cell r="AN140"/>
          <cell r="AO140"/>
          <cell r="AP140"/>
          <cell r="AQ140"/>
          <cell r="AR140"/>
          <cell r="AS140"/>
          <cell r="AT140"/>
          <cell r="AU140"/>
          <cell r="AV140"/>
          <cell r="AW140"/>
          <cell r="AX140"/>
          <cell r="AY140"/>
          <cell r="AZ140"/>
          <cell r="BA140"/>
          <cell r="BB140"/>
          <cell r="BC140"/>
          <cell r="BD140"/>
          <cell r="BE140"/>
          <cell r="BF140"/>
          <cell r="BG140"/>
          <cell r="BH140"/>
          <cell r="BI140"/>
          <cell r="BJ140"/>
          <cell r="BK140"/>
          <cell r="BL140"/>
          <cell r="BM140"/>
          <cell r="BN140"/>
          <cell r="BO140"/>
          <cell r="BP140"/>
          <cell r="BQ140"/>
          <cell r="BR140"/>
          <cell r="BS140"/>
          <cell r="BT140"/>
          <cell r="BU140"/>
          <cell r="BV140"/>
          <cell r="BW140"/>
          <cell r="BX140"/>
          <cell r="BY140"/>
          <cell r="BZ140"/>
          <cell r="CA140"/>
          <cell r="CB140"/>
          <cell r="CC140"/>
          <cell r="CD140"/>
          <cell r="CE140"/>
          <cell r="CF140"/>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cell r="P141"/>
          <cell r="Q141"/>
          <cell r="R141"/>
          <cell r="S141"/>
          <cell r="T141"/>
          <cell r="U141"/>
          <cell r="V141"/>
          <cell r="W141"/>
          <cell r="X141"/>
          <cell r="Y141"/>
          <cell r="Z141"/>
          <cell r="AA141"/>
          <cell r="AB141"/>
          <cell r="AC141"/>
          <cell r="AD141"/>
          <cell r="AE141"/>
          <cell r="AF141"/>
          <cell r="AG141"/>
          <cell r="AH141"/>
          <cell r="AI141"/>
          <cell r="AJ141"/>
          <cell r="AK141"/>
          <cell r="AL141"/>
          <cell r="AM141"/>
          <cell r="AN141"/>
          <cell r="AO141"/>
          <cell r="AP141"/>
          <cell r="AQ141"/>
          <cell r="AR141"/>
          <cell r="AS141"/>
          <cell r="AT141"/>
          <cell r="AU141"/>
          <cell r="AV141"/>
          <cell r="AW141"/>
          <cell r="AX141"/>
          <cell r="AY141"/>
          <cell r="AZ141"/>
          <cell r="BA141"/>
          <cell r="BB141"/>
          <cell r="BC141"/>
          <cell r="BD141"/>
          <cell r="BE141"/>
          <cell r="BF141"/>
          <cell r="BG141"/>
          <cell r="BH141"/>
          <cell r="BI141"/>
          <cell r="BJ141"/>
          <cell r="BK141"/>
          <cell r="BL141"/>
          <cell r="BM141"/>
          <cell r="BN141"/>
          <cell r="BO141"/>
          <cell r="BP141"/>
          <cell r="BQ141"/>
          <cell r="BR141"/>
          <cell r="BS141"/>
          <cell r="BT141"/>
          <cell r="BU141"/>
          <cell r="BV141"/>
          <cell r="BW141"/>
          <cell r="BX141"/>
          <cell r="BY141"/>
          <cell r="BZ141"/>
          <cell r="CA141"/>
          <cell r="CB141"/>
          <cell r="CC141"/>
          <cell r="CD141"/>
          <cell r="CE141"/>
          <cell r="CF141"/>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cell r="P142"/>
          <cell r="Q142"/>
          <cell r="R142"/>
          <cell r="S142"/>
          <cell r="T142"/>
          <cell r="U142"/>
          <cell r="V142"/>
          <cell r="W142"/>
          <cell r="X142"/>
          <cell r="Y142"/>
          <cell r="Z142"/>
          <cell r="AA142"/>
          <cell r="AB142"/>
          <cell r="AC142"/>
          <cell r="AD142"/>
          <cell r="AE142"/>
          <cell r="AF142"/>
          <cell r="AG142"/>
          <cell r="AH142"/>
          <cell r="AI142"/>
          <cell r="AJ142"/>
          <cell r="AK142"/>
          <cell r="AL142"/>
          <cell r="AM142"/>
          <cell r="AN142"/>
          <cell r="AO142"/>
          <cell r="AP142"/>
          <cell r="AQ142"/>
          <cell r="AR142"/>
          <cell r="AS142"/>
          <cell r="AT142"/>
          <cell r="AU142"/>
          <cell r="AV142"/>
          <cell r="AW142"/>
          <cell r="AX142"/>
          <cell r="AY142"/>
          <cell r="AZ142"/>
          <cell r="BA142"/>
          <cell r="BB142"/>
          <cell r="BC142"/>
          <cell r="BD142"/>
          <cell r="BE142"/>
          <cell r="BF142"/>
          <cell r="BG142"/>
          <cell r="BH142"/>
          <cell r="BI142"/>
          <cell r="BJ142"/>
          <cell r="BK142"/>
          <cell r="BL142"/>
          <cell r="BM142"/>
          <cell r="BN142"/>
          <cell r="BO142"/>
          <cell r="BP142"/>
          <cell r="BQ142"/>
          <cell r="BR142"/>
          <cell r="BS142"/>
          <cell r="BT142"/>
          <cell r="BU142"/>
          <cell r="BV142"/>
          <cell r="BW142"/>
          <cell r="BX142"/>
          <cell r="BY142"/>
          <cell r="BZ142"/>
          <cell r="CA142"/>
          <cell r="CB142"/>
          <cell r="CC142"/>
          <cell r="CD142"/>
          <cell r="CE142"/>
          <cell r="CF142"/>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cell r="F228"/>
          <cell r="G228"/>
          <cell r="H228"/>
          <cell r="I228"/>
          <cell r="J228"/>
          <cell r="K228"/>
          <cell r="L228"/>
          <cell r="M228"/>
          <cell r="N228"/>
          <cell r="O228">
            <v>37948.599999999853</v>
          </cell>
        </row>
        <row r="229">
          <cell r="C229"/>
          <cell r="D229"/>
          <cell r="E229"/>
          <cell r="F229"/>
          <cell r="G229"/>
          <cell r="H229"/>
          <cell r="I229"/>
          <cell r="J229"/>
          <cell r="K229"/>
          <cell r="L229"/>
          <cell r="M229"/>
          <cell r="N229"/>
          <cell r="O229"/>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cell r="F231"/>
          <cell r="G231"/>
          <cell r="H231"/>
          <cell r="I231"/>
          <cell r="J231"/>
          <cell r="K231"/>
          <cell r="L231"/>
          <cell r="M231"/>
          <cell r="N231"/>
          <cell r="O231">
            <v>46175.570000000087</v>
          </cell>
        </row>
        <row r="232">
          <cell r="C232"/>
          <cell r="D232"/>
          <cell r="E232"/>
          <cell r="F232"/>
          <cell r="G232"/>
          <cell r="H232"/>
          <cell r="I232"/>
          <cell r="J232"/>
          <cell r="K232"/>
          <cell r="L232"/>
          <cell r="M232"/>
          <cell r="N232"/>
          <cell r="O232"/>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cell r="F234"/>
          <cell r="G234"/>
          <cell r="H234"/>
          <cell r="I234"/>
          <cell r="J234"/>
          <cell r="K234"/>
          <cell r="L234"/>
          <cell r="M234"/>
          <cell r="N234"/>
          <cell r="O234">
            <v>119333.58999999962</v>
          </cell>
        </row>
        <row r="235">
          <cell r="C235"/>
          <cell r="D235"/>
          <cell r="E235"/>
          <cell r="F235"/>
          <cell r="G235"/>
          <cell r="H235"/>
          <cell r="I235"/>
          <cell r="J235"/>
          <cell r="K235"/>
          <cell r="L235"/>
          <cell r="M235"/>
          <cell r="N235"/>
          <cell r="O235"/>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cell r="F237"/>
          <cell r="G237"/>
          <cell r="H237"/>
          <cell r="I237"/>
          <cell r="J237"/>
          <cell r="K237"/>
          <cell r="L237"/>
          <cell r="M237"/>
          <cell r="N237"/>
          <cell r="O237">
            <v>484112.22000000085</v>
          </cell>
        </row>
        <row r="238">
          <cell r="C238"/>
          <cell r="D238"/>
          <cell r="E238"/>
          <cell r="F238"/>
          <cell r="G238"/>
          <cell r="H238"/>
          <cell r="I238"/>
          <cell r="J238"/>
          <cell r="K238"/>
          <cell r="L238"/>
          <cell r="M238"/>
          <cell r="N238"/>
          <cell r="O238"/>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cell r="F240"/>
          <cell r="G240"/>
          <cell r="H240"/>
          <cell r="I240"/>
          <cell r="J240"/>
          <cell r="K240"/>
          <cell r="L240"/>
          <cell r="M240"/>
          <cell r="N240"/>
          <cell r="O240">
            <v>94040.889999998297</v>
          </cell>
        </row>
        <row r="241">
          <cell r="C241"/>
          <cell r="D241"/>
          <cell r="E241"/>
          <cell r="F241"/>
          <cell r="G241"/>
          <cell r="H241"/>
          <cell r="I241"/>
          <cell r="J241"/>
          <cell r="K241"/>
          <cell r="L241"/>
          <cell r="M241"/>
          <cell r="N241"/>
          <cell r="O241"/>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cell r="F243"/>
          <cell r="G243"/>
          <cell r="H243"/>
          <cell r="I243"/>
          <cell r="J243"/>
          <cell r="K243"/>
          <cell r="L243"/>
          <cell r="M243"/>
          <cell r="N243"/>
          <cell r="O243">
            <v>781610.86999999883</v>
          </cell>
        </row>
        <row r="244">
          <cell r="C244"/>
          <cell r="D244"/>
          <cell r="E244"/>
          <cell r="F244"/>
          <cell r="G244"/>
          <cell r="H244"/>
          <cell r="I244"/>
          <cell r="J244"/>
          <cell r="K244"/>
          <cell r="L244"/>
          <cell r="M244"/>
          <cell r="N244"/>
          <cell r="O244"/>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cell r="G248"/>
          <cell r="H248"/>
          <cell r="I248"/>
          <cell r="J248"/>
          <cell r="K248"/>
          <cell r="L248"/>
          <cell r="M248"/>
          <cell r="N248"/>
          <cell r="O248"/>
          <cell r="P248"/>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cell r="G250"/>
          <cell r="H250"/>
          <cell r="I250"/>
          <cell r="J250"/>
          <cell r="K250"/>
          <cell r="L250"/>
          <cell r="M250"/>
          <cell r="N250"/>
          <cell r="O250"/>
          <cell r="P250"/>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cell r="G252"/>
          <cell r="H252"/>
          <cell r="I252"/>
          <cell r="J252"/>
          <cell r="K252"/>
          <cell r="L252"/>
          <cell r="M252"/>
          <cell r="N252"/>
          <cell r="O252"/>
          <cell r="P252"/>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cell r="G254"/>
          <cell r="H254"/>
          <cell r="I254"/>
          <cell r="J254"/>
          <cell r="K254"/>
          <cell r="L254"/>
          <cell r="M254"/>
          <cell r="N254"/>
          <cell r="O254"/>
          <cell r="P254"/>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cell r="G256"/>
          <cell r="H256"/>
          <cell r="I256"/>
          <cell r="J256"/>
          <cell r="K256"/>
          <cell r="L256"/>
          <cell r="M256"/>
          <cell r="N256"/>
          <cell r="O256"/>
          <cell r="P256"/>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cell r="G258"/>
          <cell r="H258"/>
          <cell r="I258"/>
          <cell r="J258"/>
          <cell r="K258"/>
          <cell r="L258"/>
          <cell r="M258"/>
          <cell r="N258"/>
          <cell r="O258"/>
          <cell r="P258"/>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cell r="G262"/>
          <cell r="H262"/>
          <cell r="I262"/>
          <cell r="J262"/>
          <cell r="K262"/>
          <cell r="L262"/>
          <cell r="M262"/>
          <cell r="N262"/>
          <cell r="O262"/>
          <cell r="P262"/>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cell r="G264"/>
          <cell r="H264"/>
          <cell r="I264"/>
          <cell r="J264"/>
          <cell r="K264"/>
          <cell r="L264"/>
          <cell r="M264"/>
          <cell r="N264"/>
          <cell r="O264"/>
          <cell r="P264"/>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cell r="G266"/>
          <cell r="H266"/>
          <cell r="I266"/>
          <cell r="J266"/>
          <cell r="K266"/>
          <cell r="L266"/>
          <cell r="M266"/>
          <cell r="N266"/>
          <cell r="O266"/>
          <cell r="P266"/>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cell r="G268"/>
          <cell r="H268"/>
          <cell r="I268"/>
          <cell r="J268"/>
          <cell r="K268"/>
          <cell r="L268"/>
          <cell r="M268"/>
          <cell r="N268"/>
          <cell r="O268"/>
          <cell r="P268"/>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cell r="G270"/>
          <cell r="H270"/>
          <cell r="I270"/>
          <cell r="J270"/>
          <cell r="K270"/>
          <cell r="L270"/>
          <cell r="M270"/>
          <cell r="N270"/>
          <cell r="O270"/>
          <cell r="P270"/>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cell r="G272"/>
          <cell r="H272"/>
          <cell r="I272"/>
          <cell r="J272"/>
          <cell r="K272"/>
          <cell r="L272"/>
          <cell r="M272"/>
          <cell r="N272"/>
          <cell r="O272"/>
          <cell r="P272"/>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cell r="G2"/>
          <cell r="H2"/>
          <cell r="I2"/>
          <cell r="J2"/>
          <cell r="K2"/>
          <cell r="L2"/>
          <cell r="M2"/>
          <cell r="N2"/>
          <cell r="O2"/>
          <cell r="P2">
            <v>24.741772151898733</v>
          </cell>
          <cell r="V2">
            <v>10545</v>
          </cell>
          <cell r="W2">
            <v>10165</v>
          </cell>
          <cell r="X2"/>
          <cell r="Y2"/>
          <cell r="Z2"/>
          <cell r="AA2"/>
          <cell r="AB2"/>
          <cell r="AC2"/>
          <cell r="AD2"/>
          <cell r="AE2"/>
          <cell r="AF2"/>
          <cell r="AG2"/>
          <cell r="AH2">
            <v>20710</v>
          </cell>
        </row>
        <row r="3">
          <cell r="D3">
            <v>25</v>
          </cell>
          <cell r="E3">
            <v>54</v>
          </cell>
          <cell r="F3"/>
          <cell r="G3"/>
          <cell r="H3"/>
          <cell r="I3"/>
          <cell r="J3"/>
          <cell r="K3"/>
          <cell r="L3"/>
          <cell r="M3"/>
          <cell r="N3"/>
          <cell r="O3"/>
          <cell r="P3">
            <v>79</v>
          </cell>
          <cell r="V3">
            <v>4896</v>
          </cell>
          <cell r="W3">
            <v>5356</v>
          </cell>
          <cell r="X3"/>
          <cell r="Y3"/>
          <cell r="Z3"/>
          <cell r="AA3"/>
          <cell r="AB3"/>
          <cell r="AC3"/>
          <cell r="AD3"/>
          <cell r="AE3"/>
          <cell r="AF3"/>
          <cell r="AG3"/>
          <cell r="AH3">
            <v>10252</v>
          </cell>
        </row>
        <row r="4">
          <cell r="D4">
            <v>17.11</v>
          </cell>
          <cell r="E4">
            <v>18.5</v>
          </cell>
          <cell r="F4"/>
          <cell r="G4"/>
          <cell r="H4"/>
          <cell r="I4"/>
          <cell r="J4"/>
          <cell r="K4"/>
          <cell r="L4"/>
          <cell r="M4"/>
          <cell r="N4"/>
          <cell r="O4"/>
          <cell r="P4">
            <v>17.894102564102564</v>
          </cell>
          <cell r="V4">
            <v>0.46429587482219059</v>
          </cell>
          <cell r="W4">
            <v>0.52690605017215941</v>
          </cell>
          <cell r="X4"/>
          <cell r="Y4"/>
          <cell r="Z4"/>
          <cell r="AA4"/>
          <cell r="AB4"/>
          <cell r="AC4"/>
          <cell r="AD4"/>
          <cell r="AE4"/>
          <cell r="AF4"/>
          <cell r="AG4"/>
          <cell r="AH4">
            <v>0.4950265572187349</v>
          </cell>
        </row>
        <row r="5">
          <cell r="D5">
            <v>34</v>
          </cell>
          <cell r="E5">
            <v>44</v>
          </cell>
          <cell r="F5"/>
          <cell r="G5"/>
          <cell r="H5"/>
          <cell r="I5"/>
          <cell r="J5"/>
          <cell r="K5"/>
          <cell r="L5"/>
          <cell r="M5"/>
          <cell r="N5"/>
          <cell r="O5"/>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cell r="G6"/>
          <cell r="H6"/>
          <cell r="I6"/>
          <cell r="J6"/>
          <cell r="K6"/>
          <cell r="L6"/>
          <cell r="M6"/>
          <cell r="N6"/>
          <cell r="O6"/>
          <cell r="P6">
            <v>22.41764705882353</v>
          </cell>
          <cell r="V6">
            <v>18607</v>
          </cell>
          <cell r="W6">
            <v>19067</v>
          </cell>
          <cell r="X6"/>
          <cell r="Y6"/>
          <cell r="Z6"/>
          <cell r="AA6"/>
          <cell r="AB6"/>
          <cell r="AC6"/>
          <cell r="AD6"/>
          <cell r="AE6"/>
          <cell r="AF6"/>
          <cell r="AG6"/>
          <cell r="AH6">
            <v>37674</v>
          </cell>
        </row>
        <row r="7">
          <cell r="D7">
            <v>73</v>
          </cell>
          <cell r="E7">
            <v>80</v>
          </cell>
          <cell r="F7"/>
          <cell r="G7"/>
          <cell r="H7"/>
          <cell r="I7"/>
          <cell r="J7"/>
          <cell r="K7"/>
          <cell r="L7"/>
          <cell r="M7"/>
          <cell r="N7"/>
          <cell r="O7"/>
          <cell r="P7">
            <v>153</v>
          </cell>
          <cell r="V7">
            <v>7595</v>
          </cell>
          <cell r="W7">
            <v>8815</v>
          </cell>
          <cell r="X7"/>
          <cell r="Y7"/>
          <cell r="Z7"/>
          <cell r="AA7"/>
          <cell r="AB7"/>
          <cell r="AC7"/>
          <cell r="AD7"/>
          <cell r="AE7"/>
          <cell r="AF7"/>
          <cell r="AG7"/>
          <cell r="AH7">
            <v>16410</v>
          </cell>
        </row>
        <row r="8">
          <cell r="D8">
            <v>31.99</v>
          </cell>
          <cell r="E8">
            <v>27.6</v>
          </cell>
          <cell r="F8"/>
          <cell r="G8"/>
          <cell r="H8"/>
          <cell r="I8"/>
          <cell r="J8"/>
          <cell r="K8"/>
          <cell r="L8"/>
          <cell r="M8"/>
          <cell r="N8"/>
          <cell r="O8"/>
          <cell r="P8">
            <v>29.165130434782608</v>
          </cell>
          <cell r="V8">
            <v>0.40817971731068953</v>
          </cell>
          <cell r="W8">
            <v>0.46231709235852519</v>
          </cell>
          <cell r="X8"/>
          <cell r="Y8"/>
          <cell r="Z8"/>
          <cell r="AA8"/>
          <cell r="AB8"/>
          <cell r="AC8"/>
          <cell r="AD8"/>
          <cell r="AE8"/>
          <cell r="AF8"/>
          <cell r="AG8"/>
          <cell r="AH8">
            <v>0.43557891383978342</v>
          </cell>
        </row>
        <row r="9">
          <cell r="D9">
            <v>41</v>
          </cell>
          <cell r="E9">
            <v>74</v>
          </cell>
          <cell r="F9"/>
          <cell r="G9"/>
          <cell r="H9"/>
          <cell r="I9"/>
          <cell r="J9"/>
          <cell r="K9"/>
          <cell r="L9"/>
          <cell r="M9"/>
          <cell r="N9"/>
          <cell r="O9"/>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cell r="G10"/>
          <cell r="H10"/>
          <cell r="I10"/>
          <cell r="J10"/>
          <cell r="K10"/>
          <cell r="L10"/>
          <cell r="M10"/>
          <cell r="N10"/>
          <cell r="O10"/>
          <cell r="P10">
            <v>24.72</v>
          </cell>
          <cell r="V10">
            <v>17952</v>
          </cell>
          <cell r="W10">
            <v>17664</v>
          </cell>
          <cell r="X10"/>
          <cell r="Y10"/>
          <cell r="Z10"/>
          <cell r="AA10"/>
          <cell r="AB10"/>
          <cell r="AC10"/>
          <cell r="AD10"/>
          <cell r="AE10"/>
          <cell r="AF10"/>
          <cell r="AG10"/>
          <cell r="AH10">
            <v>35616</v>
          </cell>
        </row>
        <row r="11">
          <cell r="D11">
            <v>23</v>
          </cell>
          <cell r="E11">
            <v>46</v>
          </cell>
          <cell r="F11"/>
          <cell r="G11"/>
          <cell r="H11"/>
          <cell r="I11"/>
          <cell r="J11"/>
          <cell r="K11"/>
          <cell r="L11"/>
          <cell r="M11"/>
          <cell r="N11"/>
          <cell r="O11"/>
          <cell r="P11">
            <v>69</v>
          </cell>
          <cell r="V11">
            <v>8930</v>
          </cell>
          <cell r="W11">
            <v>10259</v>
          </cell>
          <cell r="X11"/>
          <cell r="Y11"/>
          <cell r="Z11"/>
          <cell r="AA11"/>
          <cell r="AB11"/>
          <cell r="AC11"/>
          <cell r="AD11"/>
          <cell r="AE11"/>
          <cell r="AF11"/>
          <cell r="AG11"/>
          <cell r="AH11">
            <v>19189</v>
          </cell>
        </row>
        <row r="12">
          <cell r="D12">
            <v>23.41</v>
          </cell>
          <cell r="E12">
            <v>21.2</v>
          </cell>
          <cell r="F12"/>
          <cell r="G12"/>
          <cell r="H12"/>
          <cell r="I12"/>
          <cell r="J12"/>
          <cell r="K12"/>
          <cell r="L12"/>
          <cell r="M12"/>
          <cell r="N12"/>
          <cell r="O12"/>
          <cell r="P12">
            <v>22.076842105263157</v>
          </cell>
          <cell r="V12">
            <v>0.49743761140819964</v>
          </cell>
          <cell r="W12">
            <v>0.58078577898550721</v>
          </cell>
          <cell r="X12"/>
          <cell r="Y12"/>
          <cell r="Z12"/>
          <cell r="AA12"/>
          <cell r="AB12"/>
          <cell r="AC12"/>
          <cell r="AD12"/>
          <cell r="AE12"/>
          <cell r="AF12"/>
          <cell r="AG12"/>
          <cell r="AH12">
            <v>0.53877470799640614</v>
          </cell>
        </row>
        <row r="13">
          <cell r="D13">
            <v>196</v>
          </cell>
          <cell r="E13">
            <v>298</v>
          </cell>
          <cell r="F13"/>
          <cell r="G13"/>
          <cell r="H13"/>
          <cell r="I13"/>
          <cell r="J13"/>
          <cell r="K13"/>
          <cell r="L13"/>
          <cell r="M13"/>
          <cell r="N13"/>
          <cell r="O13"/>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cell r="Y14"/>
          <cell r="Z14"/>
          <cell r="AA14"/>
          <cell r="AB14"/>
          <cell r="AC14"/>
          <cell r="AD14"/>
          <cell r="AE14"/>
          <cell r="AF14"/>
          <cell r="AG14"/>
          <cell r="AH14">
            <v>22682</v>
          </cell>
        </row>
        <row r="15">
          <cell r="V15">
            <v>4353</v>
          </cell>
          <cell r="W15">
            <v>5228</v>
          </cell>
          <cell r="X15"/>
          <cell r="Y15"/>
          <cell r="Z15"/>
          <cell r="AA15"/>
          <cell r="AB15"/>
          <cell r="AC15"/>
          <cell r="AD15"/>
          <cell r="AE15"/>
          <cell r="AF15"/>
          <cell r="AG15"/>
          <cell r="AH15">
            <v>9581</v>
          </cell>
        </row>
        <row r="16">
          <cell r="D16">
            <v>9.5</v>
          </cell>
          <cell r="E16">
            <v>10.4</v>
          </cell>
          <cell r="F16"/>
          <cell r="G16"/>
          <cell r="H16"/>
          <cell r="I16"/>
          <cell r="J16"/>
          <cell r="K16"/>
          <cell r="L16"/>
          <cell r="M16"/>
          <cell r="N16"/>
          <cell r="O16"/>
          <cell r="P16">
            <v>9.997647058823528</v>
          </cell>
          <cell r="V16">
            <v>0.40309287897027501</v>
          </cell>
          <cell r="W16">
            <v>0.43995624000673228</v>
          </cell>
          <cell r="X16"/>
          <cell r="Y16"/>
          <cell r="Z16"/>
          <cell r="AA16"/>
          <cell r="AB16"/>
          <cell r="AC16"/>
          <cell r="AD16"/>
          <cell r="AE16"/>
          <cell r="AF16"/>
          <cell r="AG16"/>
          <cell r="AH16">
            <v>0.42240543161978661</v>
          </cell>
        </row>
        <row r="17">
          <cell r="D17">
            <v>38</v>
          </cell>
          <cell r="E17">
            <v>47</v>
          </cell>
          <cell r="F17"/>
          <cell r="G17"/>
          <cell r="H17"/>
          <cell r="I17"/>
          <cell r="J17"/>
          <cell r="K17"/>
          <cell r="L17"/>
          <cell r="M17"/>
          <cell r="N17"/>
          <cell r="O17"/>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cell r="G18"/>
          <cell r="H18"/>
          <cell r="I18"/>
          <cell r="J18"/>
          <cell r="K18"/>
          <cell r="L18"/>
          <cell r="M18"/>
          <cell r="N18"/>
          <cell r="O18"/>
          <cell r="P18">
            <v>85</v>
          </cell>
          <cell r="V18">
            <v>11207</v>
          </cell>
          <cell r="W18">
            <v>11758</v>
          </cell>
          <cell r="X18"/>
          <cell r="Y18"/>
          <cell r="Z18"/>
          <cell r="AA18"/>
          <cell r="AB18"/>
          <cell r="AC18"/>
          <cell r="AD18"/>
          <cell r="AE18"/>
          <cell r="AF18"/>
          <cell r="AG18"/>
          <cell r="AH18">
            <v>22965</v>
          </cell>
        </row>
        <row r="19">
          <cell r="D19">
            <v>1</v>
          </cell>
          <cell r="E19">
            <v>1</v>
          </cell>
          <cell r="F19"/>
          <cell r="G19"/>
          <cell r="H19"/>
          <cell r="I19"/>
          <cell r="J19"/>
          <cell r="K19"/>
          <cell r="L19"/>
          <cell r="M19"/>
          <cell r="N19"/>
          <cell r="O19"/>
          <cell r="P19">
            <v>1</v>
          </cell>
          <cell r="V19">
            <v>4628</v>
          </cell>
          <cell r="W19">
            <v>6139</v>
          </cell>
          <cell r="X19"/>
          <cell r="Y19"/>
          <cell r="Z19"/>
          <cell r="AA19"/>
          <cell r="AB19"/>
          <cell r="AC19"/>
          <cell r="AD19"/>
          <cell r="AE19"/>
          <cell r="AF19"/>
          <cell r="AG19"/>
          <cell r="AH19">
            <v>10767</v>
          </cell>
        </row>
        <row r="20">
          <cell r="D20">
            <v>12.4</v>
          </cell>
          <cell r="E20">
            <v>13.5</v>
          </cell>
          <cell r="F20"/>
          <cell r="G20"/>
          <cell r="H20"/>
          <cell r="I20"/>
          <cell r="J20"/>
          <cell r="K20"/>
          <cell r="L20"/>
          <cell r="M20"/>
          <cell r="N20"/>
          <cell r="O20"/>
          <cell r="P20">
            <v>12.895000000000001</v>
          </cell>
          <cell r="V20">
            <v>0.41295618809672524</v>
          </cell>
          <cell r="W20">
            <v>0.5221126041843851</v>
          </cell>
          <cell r="X20"/>
          <cell r="Y20"/>
          <cell r="Z20"/>
          <cell r="AA20"/>
          <cell r="AB20"/>
          <cell r="AC20"/>
          <cell r="AD20"/>
          <cell r="AE20"/>
          <cell r="AF20"/>
          <cell r="AG20"/>
          <cell r="AH20">
            <v>0.46884389288047029</v>
          </cell>
        </row>
        <row r="21">
          <cell r="D21">
            <v>66</v>
          </cell>
          <cell r="E21">
            <v>54</v>
          </cell>
          <cell r="F21"/>
          <cell r="G21"/>
          <cell r="H21"/>
          <cell r="I21"/>
          <cell r="J21"/>
          <cell r="K21"/>
          <cell r="L21"/>
          <cell r="M21"/>
          <cell r="N21"/>
          <cell r="O21"/>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cell r="G22"/>
          <cell r="H22"/>
          <cell r="I22"/>
          <cell r="J22"/>
          <cell r="K22"/>
          <cell r="L22"/>
          <cell r="M22"/>
          <cell r="N22"/>
          <cell r="O22"/>
          <cell r="P22">
            <v>119</v>
          </cell>
          <cell r="V22">
            <v>69110</v>
          </cell>
          <cell r="W22">
            <v>70537</v>
          </cell>
          <cell r="X22"/>
          <cell r="Y22"/>
          <cell r="Z22"/>
          <cell r="AA22"/>
          <cell r="AB22"/>
          <cell r="AC22"/>
          <cell r="AD22"/>
          <cell r="AE22"/>
          <cell r="AF22"/>
          <cell r="AG22"/>
          <cell r="AH22">
            <v>139647</v>
          </cell>
        </row>
        <row r="23">
          <cell r="D23">
            <v>1</v>
          </cell>
          <cell r="E23">
            <v>0.98148148148148151</v>
          </cell>
          <cell r="F23"/>
          <cell r="G23"/>
          <cell r="H23"/>
          <cell r="I23"/>
          <cell r="J23"/>
          <cell r="K23"/>
          <cell r="L23"/>
          <cell r="M23"/>
          <cell r="N23"/>
          <cell r="O23"/>
          <cell r="P23">
            <v>0.9916666666666667</v>
          </cell>
          <cell r="V23">
            <v>30402</v>
          </cell>
          <cell r="W23">
            <v>35797</v>
          </cell>
          <cell r="X23"/>
          <cell r="Y23"/>
          <cell r="Z23"/>
          <cell r="AA23"/>
          <cell r="AB23"/>
          <cell r="AC23"/>
          <cell r="AD23"/>
          <cell r="AE23"/>
          <cell r="AF23"/>
          <cell r="AG23"/>
          <cell r="AH23">
            <v>66199</v>
          </cell>
        </row>
        <row r="24">
          <cell r="D24">
            <v>12.5</v>
          </cell>
          <cell r="E24">
            <v>11.1</v>
          </cell>
          <cell r="F24"/>
          <cell r="G24"/>
          <cell r="H24"/>
          <cell r="I24"/>
          <cell r="J24"/>
          <cell r="K24"/>
          <cell r="L24"/>
          <cell r="M24"/>
          <cell r="N24"/>
          <cell r="O24"/>
          <cell r="P24">
            <v>11.784444444444444</v>
          </cell>
          <cell r="V24">
            <v>0.43990739400954998</v>
          </cell>
          <cell r="W24">
            <v>0.50749252165530145</v>
          </cell>
          <cell r="X24"/>
          <cell r="Y24"/>
          <cell r="Z24"/>
          <cell r="AA24"/>
          <cell r="AB24"/>
          <cell r="AC24"/>
          <cell r="AD24"/>
          <cell r="AE24"/>
          <cell r="AF24"/>
          <cell r="AG24"/>
          <cell r="AH24">
            <v>0.47404527129118418</v>
          </cell>
        </row>
        <row r="25">
          <cell r="D25">
            <v>110</v>
          </cell>
          <cell r="E25">
            <v>115</v>
          </cell>
          <cell r="F25"/>
          <cell r="G25"/>
          <cell r="H25"/>
          <cell r="I25"/>
          <cell r="J25"/>
          <cell r="K25"/>
          <cell r="L25"/>
          <cell r="M25"/>
          <cell r="N25"/>
          <cell r="O25"/>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cell r="G26"/>
          <cell r="H26"/>
          <cell r="I26"/>
          <cell r="J26"/>
          <cell r="K26"/>
          <cell r="L26"/>
          <cell r="M26"/>
          <cell r="N26"/>
          <cell r="O26"/>
          <cell r="P26">
            <v>225</v>
          </cell>
        </row>
        <row r="27">
          <cell r="D27">
            <v>1</v>
          </cell>
          <cell r="E27">
            <v>1</v>
          </cell>
          <cell r="F27"/>
          <cell r="G27"/>
          <cell r="H27"/>
          <cell r="I27"/>
          <cell r="J27"/>
          <cell r="K27"/>
          <cell r="L27"/>
          <cell r="M27"/>
          <cell r="N27"/>
          <cell r="O27"/>
          <cell r="P27">
            <v>1</v>
          </cell>
        </row>
        <row r="28">
          <cell r="D28">
            <v>12.3</v>
          </cell>
          <cell r="E28">
            <v>11.7</v>
          </cell>
          <cell r="F28"/>
          <cell r="G28"/>
          <cell r="H28"/>
          <cell r="I28"/>
          <cell r="J28"/>
          <cell r="K28"/>
          <cell r="L28"/>
          <cell r="M28"/>
          <cell r="N28"/>
          <cell r="O28"/>
          <cell r="P28">
            <v>11.924460431654676</v>
          </cell>
          <cell r="V28">
            <v>10545</v>
          </cell>
          <cell r="W28">
            <v>10165</v>
          </cell>
          <cell r="X28"/>
          <cell r="Y28"/>
          <cell r="Z28"/>
          <cell r="AA28"/>
          <cell r="AB28"/>
          <cell r="AC28"/>
          <cell r="AD28"/>
          <cell r="AE28"/>
          <cell r="AF28"/>
          <cell r="AG28"/>
          <cell r="AH28">
            <v>20710</v>
          </cell>
        </row>
        <row r="29">
          <cell r="D29">
            <v>52</v>
          </cell>
          <cell r="E29">
            <v>87</v>
          </cell>
          <cell r="F29"/>
          <cell r="G29"/>
          <cell r="H29"/>
          <cell r="I29"/>
          <cell r="J29"/>
          <cell r="K29"/>
          <cell r="L29"/>
          <cell r="M29"/>
          <cell r="N29"/>
          <cell r="O29"/>
          <cell r="P29">
            <v>139</v>
          </cell>
          <cell r="V29">
            <v>7</v>
          </cell>
          <cell r="W29">
            <v>14</v>
          </cell>
          <cell r="X29"/>
          <cell r="Y29"/>
          <cell r="Z29"/>
          <cell r="AA29"/>
          <cell r="AB29"/>
          <cell r="AC29"/>
          <cell r="AD29"/>
          <cell r="AE29"/>
          <cell r="AF29"/>
          <cell r="AG29"/>
          <cell r="AH29">
            <v>21</v>
          </cell>
        </row>
        <row r="30">
          <cell r="D30">
            <v>52</v>
          </cell>
          <cell r="E30">
            <v>87</v>
          </cell>
          <cell r="F30"/>
          <cell r="G30"/>
          <cell r="H30"/>
          <cell r="I30"/>
          <cell r="J30"/>
          <cell r="K30"/>
          <cell r="L30"/>
          <cell r="M30"/>
          <cell r="N30"/>
          <cell r="O30"/>
          <cell r="P30">
            <v>139</v>
          </cell>
          <cell r="V30">
            <v>6.1306708705552633E-4</v>
          </cell>
          <cell r="W30">
            <v>1.266624445851805E-3</v>
          </cell>
          <cell r="X30"/>
          <cell r="Y30"/>
          <cell r="Z30"/>
          <cell r="AA30"/>
          <cell r="AB30"/>
          <cell r="AC30"/>
          <cell r="AD30"/>
          <cell r="AE30"/>
          <cell r="AF30"/>
          <cell r="AG30"/>
          <cell r="AH30">
            <v>9.3453784878287573E-4</v>
          </cell>
        </row>
        <row r="31">
          <cell r="D31">
            <v>1</v>
          </cell>
          <cell r="E31">
            <v>1</v>
          </cell>
          <cell r="F31"/>
          <cell r="G31"/>
          <cell r="H31"/>
          <cell r="I31"/>
          <cell r="J31"/>
          <cell r="K31"/>
          <cell r="L31"/>
          <cell r="M31"/>
          <cell r="N31"/>
          <cell r="O31"/>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cell r="G32"/>
          <cell r="H32"/>
          <cell r="I32"/>
          <cell r="J32"/>
          <cell r="K32"/>
          <cell r="L32"/>
          <cell r="M32"/>
          <cell r="N32"/>
          <cell r="O32"/>
          <cell r="P32">
            <v>8.9946428571428587</v>
          </cell>
          <cell r="V32">
            <v>18607</v>
          </cell>
          <cell r="W32">
            <v>19067</v>
          </cell>
          <cell r="X32"/>
          <cell r="Y32"/>
          <cell r="Z32"/>
          <cell r="AA32"/>
          <cell r="AB32"/>
          <cell r="AC32"/>
          <cell r="AD32"/>
          <cell r="AE32"/>
          <cell r="AF32"/>
          <cell r="AG32"/>
          <cell r="AH32">
            <v>37674</v>
          </cell>
        </row>
        <row r="33">
          <cell r="D33">
            <v>57</v>
          </cell>
          <cell r="E33">
            <v>55</v>
          </cell>
          <cell r="F33"/>
          <cell r="G33"/>
          <cell r="H33"/>
          <cell r="I33"/>
          <cell r="J33"/>
          <cell r="K33"/>
          <cell r="L33"/>
          <cell r="M33"/>
          <cell r="N33"/>
          <cell r="O33"/>
          <cell r="P33">
            <v>112</v>
          </cell>
          <cell r="V33">
            <v>41</v>
          </cell>
          <cell r="W33">
            <v>25</v>
          </cell>
          <cell r="X33"/>
          <cell r="Y33"/>
          <cell r="Z33"/>
          <cell r="AA33"/>
          <cell r="AB33"/>
          <cell r="AC33"/>
          <cell r="AD33"/>
          <cell r="AE33"/>
          <cell r="AF33"/>
          <cell r="AG33"/>
          <cell r="AH33">
            <v>66</v>
          </cell>
        </row>
        <row r="34">
          <cell r="D34">
            <v>57</v>
          </cell>
          <cell r="E34">
            <v>55</v>
          </cell>
          <cell r="F34"/>
          <cell r="G34"/>
          <cell r="H34"/>
          <cell r="I34"/>
          <cell r="J34"/>
          <cell r="K34"/>
          <cell r="L34"/>
          <cell r="M34"/>
          <cell r="N34"/>
          <cell r="O34"/>
          <cell r="P34">
            <v>112</v>
          </cell>
          <cell r="V34">
            <v>2.018709995076317E-3</v>
          </cell>
          <cell r="W34">
            <v>1.1768028619845603E-3</v>
          </cell>
          <cell r="X34"/>
          <cell r="Y34"/>
          <cell r="Z34"/>
          <cell r="AA34"/>
          <cell r="AB34"/>
          <cell r="AC34"/>
          <cell r="AD34"/>
          <cell r="AE34"/>
          <cell r="AF34"/>
          <cell r="AG34"/>
          <cell r="AH34">
            <v>1.5882947490012994E-3</v>
          </cell>
        </row>
        <row r="35">
          <cell r="D35">
            <v>1</v>
          </cell>
          <cell r="E35">
            <v>1</v>
          </cell>
          <cell r="F35"/>
          <cell r="G35"/>
          <cell r="H35"/>
          <cell r="I35"/>
          <cell r="J35"/>
          <cell r="K35"/>
          <cell r="L35"/>
          <cell r="M35"/>
          <cell r="N35"/>
          <cell r="O35"/>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cell r="G36"/>
          <cell r="H36"/>
          <cell r="I36"/>
          <cell r="J36"/>
          <cell r="K36"/>
          <cell r="L36"/>
          <cell r="M36"/>
          <cell r="N36"/>
          <cell r="O36"/>
          <cell r="P36">
            <v>11.9356093979442</v>
          </cell>
          <cell r="V36">
            <v>17952</v>
          </cell>
          <cell r="W36">
            <v>17664</v>
          </cell>
          <cell r="X36"/>
          <cell r="Y36"/>
          <cell r="Z36"/>
          <cell r="AA36"/>
          <cell r="AB36"/>
          <cell r="AC36"/>
          <cell r="AD36"/>
          <cell r="AE36"/>
          <cell r="AF36"/>
          <cell r="AG36"/>
          <cell r="AH36">
            <v>35616</v>
          </cell>
        </row>
        <row r="37">
          <cell r="D37">
            <v>323</v>
          </cell>
          <cell r="E37">
            <v>358</v>
          </cell>
          <cell r="F37"/>
          <cell r="G37"/>
          <cell r="H37"/>
          <cell r="I37"/>
          <cell r="J37"/>
          <cell r="K37"/>
          <cell r="L37"/>
          <cell r="M37"/>
          <cell r="N37"/>
          <cell r="O37"/>
          <cell r="P37">
            <v>681</v>
          </cell>
          <cell r="V37">
            <v>15</v>
          </cell>
          <cell r="W37">
            <v>18</v>
          </cell>
          <cell r="X37"/>
          <cell r="Y37"/>
          <cell r="Z37"/>
          <cell r="AA37"/>
          <cell r="AB37"/>
          <cell r="AC37"/>
          <cell r="AD37"/>
          <cell r="AE37"/>
          <cell r="AF37"/>
          <cell r="AG37"/>
          <cell r="AH37">
            <v>33</v>
          </cell>
        </row>
        <row r="38">
          <cell r="D38">
            <v>323</v>
          </cell>
          <cell r="E38">
            <v>357</v>
          </cell>
          <cell r="F38"/>
          <cell r="G38"/>
          <cell r="H38"/>
          <cell r="I38"/>
          <cell r="J38"/>
          <cell r="K38"/>
          <cell r="L38"/>
          <cell r="M38"/>
          <cell r="N38"/>
          <cell r="O38"/>
          <cell r="P38">
            <v>680</v>
          </cell>
          <cell r="V38">
            <v>7.7415359207266723E-4</v>
          </cell>
          <cell r="W38">
            <v>9.2903225806451615E-4</v>
          </cell>
          <cell r="X38"/>
          <cell r="Y38"/>
          <cell r="Z38"/>
          <cell r="AA38"/>
          <cell r="AB38"/>
          <cell r="AC38"/>
          <cell r="AD38"/>
          <cell r="AE38"/>
          <cell r="AF38"/>
          <cell r="AG38"/>
          <cell r="AH38">
            <v>8.515909266857629E-4</v>
          </cell>
        </row>
        <row r="39">
          <cell r="D39">
            <v>1</v>
          </cell>
          <cell r="E39">
            <v>0.9972067039106145</v>
          </cell>
          <cell r="F39"/>
          <cell r="G39"/>
          <cell r="H39"/>
          <cell r="I39"/>
          <cell r="J39"/>
          <cell r="K39"/>
          <cell r="L39"/>
          <cell r="M39"/>
          <cell r="N39"/>
          <cell r="O39"/>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cell r="Y40"/>
          <cell r="Z40"/>
          <cell r="AA40"/>
          <cell r="AB40"/>
          <cell r="AC40"/>
          <cell r="AD40"/>
          <cell r="AE40"/>
          <cell r="AF40"/>
          <cell r="AG40"/>
          <cell r="AH40">
            <v>22682</v>
          </cell>
        </row>
        <row r="41">
          <cell r="V41">
            <v>8</v>
          </cell>
          <cell r="W41">
            <v>10</v>
          </cell>
          <cell r="X41"/>
          <cell r="Y41"/>
          <cell r="Z41"/>
          <cell r="AA41"/>
          <cell r="AB41"/>
          <cell r="AC41"/>
          <cell r="AD41"/>
          <cell r="AE41"/>
          <cell r="AF41"/>
          <cell r="AG41"/>
          <cell r="AH41">
            <v>18</v>
          </cell>
        </row>
        <row r="42">
          <cell r="V42">
            <v>6.7992520822709502E-4</v>
          </cell>
          <cell r="W42">
            <v>7.6793119336507451E-4</v>
          </cell>
          <cell r="X42"/>
          <cell r="Y42"/>
          <cell r="Z42"/>
          <cell r="AA42"/>
          <cell r="AB42"/>
          <cell r="AC42"/>
          <cell r="AD42"/>
          <cell r="AE42"/>
          <cell r="AF42"/>
          <cell r="AG42"/>
          <cell r="AH42">
            <v>7.2615781829917707E-4</v>
          </cell>
        </row>
        <row r="43">
          <cell r="D43">
            <v>0.2</v>
          </cell>
          <cell r="E43">
            <v>0.2</v>
          </cell>
          <cell r="F43">
            <v>0</v>
          </cell>
          <cell r="G43">
            <v>0</v>
          </cell>
          <cell r="H43">
            <v>0</v>
          </cell>
          <cell r="I43">
            <v>0</v>
          </cell>
          <cell r="J43">
            <v>0</v>
          </cell>
          <cell r="K43">
            <v>0</v>
          </cell>
          <cell r="L43">
            <v>0</v>
          </cell>
          <cell r="M43">
            <v>0</v>
          </cell>
          <cell r="N43">
            <v>0</v>
          </cell>
          <cell r="O43">
            <v>0</v>
          </cell>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v>0</v>
          </cell>
          <cell r="G44">
            <v>0</v>
          </cell>
          <cell r="H44">
            <v>0</v>
          </cell>
          <cell r="I44">
            <v>0</v>
          </cell>
          <cell r="J44">
            <v>0</v>
          </cell>
          <cell r="K44">
            <v>0</v>
          </cell>
          <cell r="L44">
            <v>0</v>
          </cell>
          <cell r="M44">
            <v>0</v>
          </cell>
          <cell r="N44">
            <v>0</v>
          </cell>
          <cell r="O44">
            <v>0</v>
          </cell>
          <cell r="P44">
            <v>20710</v>
          </cell>
          <cell r="V44">
            <v>11207</v>
          </cell>
          <cell r="W44">
            <v>11758</v>
          </cell>
          <cell r="X44"/>
          <cell r="Y44"/>
          <cell r="Z44"/>
          <cell r="AA44"/>
          <cell r="AB44"/>
          <cell r="AC44"/>
          <cell r="AD44"/>
          <cell r="AE44"/>
          <cell r="AF44"/>
          <cell r="AG44"/>
          <cell r="AH44">
            <v>22965</v>
          </cell>
        </row>
        <row r="45">
          <cell r="D45">
            <v>10544</v>
          </cell>
          <cell r="E45">
            <v>10161</v>
          </cell>
          <cell r="F45">
            <v>0</v>
          </cell>
          <cell r="G45">
            <v>0</v>
          </cell>
          <cell r="H45">
            <v>0</v>
          </cell>
          <cell r="I45">
            <v>0</v>
          </cell>
          <cell r="J45">
            <v>0</v>
          </cell>
          <cell r="K45">
            <v>0</v>
          </cell>
          <cell r="L45">
            <v>0</v>
          </cell>
          <cell r="M45">
            <v>0</v>
          </cell>
          <cell r="N45">
            <v>0</v>
          </cell>
          <cell r="O45">
            <v>0</v>
          </cell>
          <cell r="P45">
            <v>20705</v>
          </cell>
          <cell r="V45">
            <v>8</v>
          </cell>
          <cell r="W45">
            <v>10</v>
          </cell>
          <cell r="X45"/>
          <cell r="Y45"/>
          <cell r="Z45"/>
          <cell r="AA45"/>
          <cell r="AB45"/>
          <cell r="AC45"/>
          <cell r="AD45"/>
          <cell r="AE45"/>
          <cell r="AF45"/>
          <cell r="AG45"/>
          <cell r="AH45">
            <v>18</v>
          </cell>
        </row>
        <row r="46">
          <cell r="D46">
            <v>0.99990516832622101</v>
          </cell>
          <cell r="E46">
            <v>0.99960649286768322</v>
          </cell>
          <cell r="F46">
            <v>0</v>
          </cell>
          <cell r="G46">
            <v>0</v>
          </cell>
          <cell r="H46">
            <v>0</v>
          </cell>
          <cell r="I46">
            <v>0</v>
          </cell>
          <cell r="J46">
            <v>0</v>
          </cell>
          <cell r="K46">
            <v>0</v>
          </cell>
          <cell r="L46">
            <v>0</v>
          </cell>
          <cell r="M46">
            <v>0</v>
          </cell>
          <cell r="N46">
            <v>0</v>
          </cell>
          <cell r="O46">
            <v>0</v>
          </cell>
          <cell r="P46">
            <v>0.9997585707387735</v>
          </cell>
          <cell r="V46">
            <v>6.547716483876248E-4</v>
          </cell>
          <cell r="W46">
            <v>7.8789788843365897E-4</v>
          </cell>
          <cell r="X46"/>
          <cell r="Y46"/>
          <cell r="Z46"/>
          <cell r="AA46"/>
          <cell r="AB46"/>
          <cell r="AC46"/>
          <cell r="AD46"/>
          <cell r="AE46"/>
          <cell r="AF46"/>
          <cell r="AG46"/>
          <cell r="AH46">
            <v>7.2260136491368923E-4</v>
          </cell>
        </row>
        <row r="47">
          <cell r="D47">
            <v>0.2</v>
          </cell>
          <cell r="E47">
            <v>0.2</v>
          </cell>
          <cell r="F47">
            <v>0</v>
          </cell>
          <cell r="G47">
            <v>0</v>
          </cell>
          <cell r="H47">
            <v>0</v>
          </cell>
          <cell r="I47">
            <v>0</v>
          </cell>
          <cell r="J47">
            <v>0</v>
          </cell>
          <cell r="K47">
            <v>0</v>
          </cell>
          <cell r="L47">
            <v>0</v>
          </cell>
          <cell r="M47">
            <v>0</v>
          </cell>
          <cell r="N47">
            <v>0</v>
          </cell>
          <cell r="O47">
            <v>0</v>
          </cell>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v>0</v>
          </cell>
          <cell r="G48">
            <v>0</v>
          </cell>
          <cell r="H48">
            <v>0</v>
          </cell>
          <cell r="I48">
            <v>0</v>
          </cell>
          <cell r="J48">
            <v>0</v>
          </cell>
          <cell r="K48">
            <v>0</v>
          </cell>
          <cell r="L48">
            <v>0</v>
          </cell>
          <cell r="M48">
            <v>0</v>
          </cell>
          <cell r="N48">
            <v>0</v>
          </cell>
          <cell r="O48">
            <v>0</v>
          </cell>
          <cell r="P48">
            <v>35616</v>
          </cell>
          <cell r="V48">
            <v>69110</v>
          </cell>
          <cell r="W48">
            <v>70537</v>
          </cell>
          <cell r="X48"/>
          <cell r="Y48"/>
          <cell r="Z48"/>
          <cell r="AA48"/>
          <cell r="AB48"/>
          <cell r="AC48"/>
          <cell r="AD48"/>
          <cell r="AE48"/>
          <cell r="AF48"/>
          <cell r="AG48"/>
          <cell r="AH48">
            <v>139647</v>
          </cell>
        </row>
        <row r="49">
          <cell r="D49">
            <v>17946</v>
          </cell>
          <cell r="E49">
            <v>17657</v>
          </cell>
          <cell r="F49">
            <v>0</v>
          </cell>
          <cell r="G49">
            <v>0</v>
          </cell>
          <cell r="H49">
            <v>0</v>
          </cell>
          <cell r="I49">
            <v>0</v>
          </cell>
          <cell r="J49">
            <v>0</v>
          </cell>
          <cell r="K49">
            <v>0</v>
          </cell>
          <cell r="L49">
            <v>0</v>
          </cell>
          <cell r="M49">
            <v>0</v>
          </cell>
          <cell r="N49">
            <v>0</v>
          </cell>
          <cell r="O49">
            <v>0</v>
          </cell>
          <cell r="P49">
            <v>35603</v>
          </cell>
          <cell r="V49">
            <v>79</v>
          </cell>
          <cell r="W49">
            <v>77</v>
          </cell>
          <cell r="X49"/>
          <cell r="Y49"/>
          <cell r="Z49"/>
          <cell r="AA49"/>
          <cell r="AB49"/>
          <cell r="AC49"/>
          <cell r="AD49"/>
          <cell r="AE49"/>
          <cell r="AF49"/>
          <cell r="AG49"/>
          <cell r="AH49">
            <v>156</v>
          </cell>
        </row>
        <row r="50">
          <cell r="D50">
            <v>0.99966577540106949</v>
          </cell>
          <cell r="E50">
            <v>0.99960371376811596</v>
          </cell>
          <cell r="F50">
            <v>0</v>
          </cell>
          <cell r="G50">
            <v>0</v>
          </cell>
          <cell r="H50">
            <v>0</v>
          </cell>
          <cell r="I50">
            <v>0</v>
          </cell>
          <cell r="J50">
            <v>0</v>
          </cell>
          <cell r="K50">
            <v>0</v>
          </cell>
          <cell r="L50">
            <v>0</v>
          </cell>
          <cell r="M50">
            <v>0</v>
          </cell>
          <cell r="N50">
            <v>0</v>
          </cell>
          <cell r="O50">
            <v>0</v>
          </cell>
          <cell r="P50">
            <v>0.99963499550763701</v>
          </cell>
          <cell r="V50">
            <v>1.0520988706584275E-3</v>
          </cell>
          <cell r="W50">
            <v>9.9501201767761608E-4</v>
          </cell>
          <cell r="X50"/>
          <cell r="Y50"/>
          <cell r="Z50"/>
          <cell r="AA50"/>
          <cell r="AB50"/>
          <cell r="AC50"/>
          <cell r="AD50"/>
          <cell r="AE50"/>
          <cell r="AF50"/>
          <cell r="AG50"/>
          <cell r="AH50">
            <v>1.0231252541416896E-3</v>
          </cell>
        </row>
        <row r="51">
          <cell r="D51">
            <v>0.3</v>
          </cell>
          <cell r="E51">
            <v>0.3</v>
          </cell>
          <cell r="F51">
            <v>0</v>
          </cell>
          <cell r="G51">
            <v>0</v>
          </cell>
          <cell r="H51">
            <v>0</v>
          </cell>
          <cell r="I51">
            <v>0</v>
          </cell>
          <cell r="J51">
            <v>0</v>
          </cell>
          <cell r="K51">
            <v>0</v>
          </cell>
          <cell r="L51">
            <v>0</v>
          </cell>
          <cell r="M51">
            <v>0</v>
          </cell>
          <cell r="N51">
            <v>0</v>
          </cell>
          <cell r="O51">
            <v>0</v>
          </cell>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v>0</v>
          </cell>
          <cell r="G52">
            <v>0</v>
          </cell>
          <cell r="H52">
            <v>0</v>
          </cell>
          <cell r="I52">
            <v>0</v>
          </cell>
          <cell r="J52">
            <v>0</v>
          </cell>
          <cell r="K52">
            <v>0</v>
          </cell>
          <cell r="L52">
            <v>0</v>
          </cell>
          <cell r="M52">
            <v>0</v>
          </cell>
          <cell r="N52">
            <v>0</v>
          </cell>
          <cell r="O52">
            <v>0</v>
          </cell>
          <cell r="P52">
            <v>37674</v>
          </cell>
        </row>
        <row r="53">
          <cell r="D53">
            <v>18584</v>
          </cell>
          <cell r="E53">
            <v>19044</v>
          </cell>
          <cell r="F53">
            <v>0</v>
          </cell>
          <cell r="G53">
            <v>0</v>
          </cell>
          <cell r="H53">
            <v>0</v>
          </cell>
          <cell r="I53">
            <v>0</v>
          </cell>
          <cell r="J53">
            <v>0</v>
          </cell>
          <cell r="K53">
            <v>0</v>
          </cell>
          <cell r="L53">
            <v>0</v>
          </cell>
          <cell r="M53">
            <v>0</v>
          </cell>
          <cell r="N53">
            <v>0</v>
          </cell>
          <cell r="O53">
            <v>0</v>
          </cell>
          <cell r="P53">
            <v>37628</v>
          </cell>
        </row>
        <row r="54">
          <cell r="D54">
            <v>0.99876390605686027</v>
          </cell>
          <cell r="E54">
            <v>0.99879372738238847</v>
          </cell>
          <cell r="F54">
            <v>0</v>
          </cell>
          <cell r="G54">
            <v>0</v>
          </cell>
          <cell r="H54">
            <v>0</v>
          </cell>
          <cell r="I54">
            <v>0</v>
          </cell>
          <cell r="J54">
            <v>0</v>
          </cell>
          <cell r="K54">
            <v>0</v>
          </cell>
          <cell r="L54">
            <v>0</v>
          </cell>
          <cell r="M54">
            <v>0</v>
          </cell>
          <cell r="N54">
            <v>0</v>
          </cell>
          <cell r="O54">
            <v>0</v>
          </cell>
          <cell r="P54">
            <v>0.99877899877899878</v>
          </cell>
          <cell r="V54">
            <v>10545</v>
          </cell>
          <cell r="W54">
            <v>10165</v>
          </cell>
          <cell r="X54"/>
          <cell r="Y54"/>
          <cell r="Z54"/>
          <cell r="AA54"/>
          <cell r="AB54"/>
          <cell r="AC54"/>
          <cell r="AD54"/>
          <cell r="AE54"/>
          <cell r="AF54"/>
          <cell r="AG54"/>
          <cell r="AH54">
            <v>20710</v>
          </cell>
        </row>
        <row r="55">
          <cell r="D55">
            <v>0.4</v>
          </cell>
          <cell r="E55">
            <v>0.3</v>
          </cell>
          <cell r="F55">
            <v>0</v>
          </cell>
          <cell r="G55">
            <v>0</v>
          </cell>
          <cell r="H55">
            <v>0</v>
          </cell>
          <cell r="I55">
            <v>0</v>
          </cell>
          <cell r="J55">
            <v>0</v>
          </cell>
          <cell r="K55">
            <v>0</v>
          </cell>
          <cell r="L55">
            <v>0</v>
          </cell>
          <cell r="M55">
            <v>0</v>
          </cell>
          <cell r="N55">
            <v>0</v>
          </cell>
          <cell r="O55">
            <v>0</v>
          </cell>
          <cell r="P55">
            <v>0.34761043999647295</v>
          </cell>
          <cell r="V55">
            <v>873</v>
          </cell>
          <cell r="W55">
            <v>888</v>
          </cell>
          <cell r="X55"/>
          <cell r="Y55"/>
          <cell r="Z55"/>
          <cell r="AA55"/>
          <cell r="AB55"/>
          <cell r="AC55"/>
          <cell r="AD55"/>
          <cell r="AE55"/>
          <cell r="AF55"/>
          <cell r="AG55"/>
          <cell r="AH55">
            <v>1761</v>
          </cell>
        </row>
        <row r="56">
          <cell r="D56">
            <v>10799</v>
          </cell>
          <cell r="E56">
            <v>11883</v>
          </cell>
          <cell r="F56">
            <v>0</v>
          </cell>
          <cell r="G56">
            <v>0</v>
          </cell>
          <cell r="H56">
            <v>0</v>
          </cell>
          <cell r="I56">
            <v>0</v>
          </cell>
          <cell r="J56">
            <v>0</v>
          </cell>
          <cell r="K56">
            <v>0</v>
          </cell>
          <cell r="L56">
            <v>0</v>
          </cell>
          <cell r="M56">
            <v>0</v>
          </cell>
          <cell r="N56">
            <v>0</v>
          </cell>
          <cell r="O56">
            <v>0</v>
          </cell>
          <cell r="P56">
            <v>22682</v>
          </cell>
          <cell r="V56">
            <v>7.6458223857067784E-2</v>
          </cell>
          <cell r="W56">
            <v>8.0340179136885917E-2</v>
          </cell>
          <cell r="X56"/>
          <cell r="Y56"/>
          <cell r="Z56"/>
          <cell r="AA56"/>
          <cell r="AB56"/>
          <cell r="AC56"/>
          <cell r="AD56"/>
          <cell r="AE56"/>
          <cell r="AF56"/>
          <cell r="AG56"/>
          <cell r="AH56">
            <v>8.5031385803959442E-2</v>
          </cell>
        </row>
        <row r="57">
          <cell r="D57">
            <v>10798</v>
          </cell>
          <cell r="E57">
            <v>11881</v>
          </cell>
          <cell r="F57">
            <v>0</v>
          </cell>
          <cell r="G57">
            <v>0</v>
          </cell>
          <cell r="H57">
            <v>0</v>
          </cell>
          <cell r="I57">
            <v>0</v>
          </cell>
          <cell r="J57">
            <v>0</v>
          </cell>
          <cell r="K57">
            <v>0</v>
          </cell>
          <cell r="L57">
            <v>0</v>
          </cell>
          <cell r="M57">
            <v>0</v>
          </cell>
          <cell r="N57">
            <v>0</v>
          </cell>
          <cell r="O57">
            <v>0</v>
          </cell>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v>0</v>
          </cell>
          <cell r="G58">
            <v>0</v>
          </cell>
          <cell r="H58">
            <v>0</v>
          </cell>
          <cell r="I58">
            <v>0</v>
          </cell>
          <cell r="J58">
            <v>0</v>
          </cell>
          <cell r="K58">
            <v>0</v>
          </cell>
          <cell r="L58">
            <v>0</v>
          </cell>
          <cell r="M58">
            <v>0</v>
          </cell>
          <cell r="N58">
            <v>0</v>
          </cell>
          <cell r="O58">
            <v>0</v>
          </cell>
          <cell r="P58">
            <v>0.99986773653117011</v>
          </cell>
          <cell r="V58">
            <v>18607</v>
          </cell>
          <cell r="W58">
            <v>19067</v>
          </cell>
          <cell r="X58"/>
          <cell r="Y58"/>
          <cell r="Z58"/>
          <cell r="AA58"/>
          <cell r="AB58"/>
          <cell r="AC58"/>
          <cell r="AD58"/>
          <cell r="AE58"/>
          <cell r="AF58"/>
          <cell r="AG58"/>
          <cell r="AH58">
            <v>37674</v>
          </cell>
        </row>
        <row r="59">
          <cell r="D59">
            <v>0.2</v>
          </cell>
          <cell r="E59">
            <v>0.1</v>
          </cell>
          <cell r="F59">
            <v>0</v>
          </cell>
          <cell r="G59">
            <v>0</v>
          </cell>
          <cell r="H59">
            <v>0</v>
          </cell>
          <cell r="I59">
            <v>0</v>
          </cell>
          <cell r="J59">
            <v>0</v>
          </cell>
          <cell r="K59">
            <v>0</v>
          </cell>
          <cell r="L59">
            <v>0</v>
          </cell>
          <cell r="M59">
            <v>0</v>
          </cell>
          <cell r="N59">
            <v>0</v>
          </cell>
          <cell r="O59">
            <v>0</v>
          </cell>
          <cell r="P59">
            <v>0.14880034835619421</v>
          </cell>
          <cell r="V59">
            <v>1703</v>
          </cell>
          <cell r="W59">
            <v>2177</v>
          </cell>
          <cell r="X59"/>
          <cell r="Y59"/>
          <cell r="Z59"/>
          <cell r="AA59"/>
          <cell r="AB59"/>
          <cell r="AC59"/>
          <cell r="AD59"/>
          <cell r="AE59"/>
          <cell r="AF59"/>
          <cell r="AG59"/>
          <cell r="AH59">
            <v>3880</v>
          </cell>
        </row>
        <row r="60">
          <cell r="D60">
            <v>11207</v>
          </cell>
          <cell r="E60">
            <v>11758</v>
          </cell>
          <cell r="F60">
            <v>0</v>
          </cell>
          <cell r="G60">
            <v>0</v>
          </cell>
          <cell r="H60">
            <v>0</v>
          </cell>
          <cell r="I60">
            <v>0</v>
          </cell>
          <cell r="J60">
            <v>0</v>
          </cell>
          <cell r="K60">
            <v>0</v>
          </cell>
          <cell r="L60">
            <v>0</v>
          </cell>
          <cell r="M60">
            <v>0</v>
          </cell>
          <cell r="N60">
            <v>0</v>
          </cell>
          <cell r="O60">
            <v>0</v>
          </cell>
          <cell r="P60">
            <v>22965</v>
          </cell>
          <cell r="V60">
            <v>8.385032003938947E-2</v>
          </cell>
          <cell r="W60">
            <v>0.10247599322161552</v>
          </cell>
          <cell r="X60"/>
          <cell r="Y60"/>
          <cell r="Z60"/>
          <cell r="AA60"/>
          <cell r="AB60"/>
          <cell r="AC60"/>
          <cell r="AD60"/>
          <cell r="AE60"/>
          <cell r="AF60"/>
          <cell r="AG60"/>
          <cell r="AH60">
            <v>0.10298879864097256</v>
          </cell>
        </row>
        <row r="61">
          <cell r="D61">
            <v>11205</v>
          </cell>
          <cell r="E61">
            <v>11758</v>
          </cell>
          <cell r="F61">
            <v>0</v>
          </cell>
          <cell r="G61">
            <v>0</v>
          </cell>
          <cell r="H61">
            <v>0</v>
          </cell>
          <cell r="I61">
            <v>0</v>
          </cell>
          <cell r="J61">
            <v>0</v>
          </cell>
          <cell r="K61">
            <v>0</v>
          </cell>
          <cell r="L61">
            <v>0</v>
          </cell>
          <cell r="M61">
            <v>0</v>
          </cell>
          <cell r="N61">
            <v>0</v>
          </cell>
          <cell r="O61">
            <v>0</v>
          </cell>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v>0</v>
          </cell>
          <cell r="G62">
            <v>0</v>
          </cell>
          <cell r="H62">
            <v>0</v>
          </cell>
          <cell r="I62">
            <v>0</v>
          </cell>
          <cell r="J62">
            <v>0</v>
          </cell>
          <cell r="K62">
            <v>0</v>
          </cell>
          <cell r="L62">
            <v>0</v>
          </cell>
          <cell r="M62">
            <v>0</v>
          </cell>
          <cell r="N62">
            <v>0</v>
          </cell>
          <cell r="O62">
            <v>0</v>
          </cell>
          <cell r="P62">
            <v>0.99991291095144785</v>
          </cell>
          <cell r="V62">
            <v>17952</v>
          </cell>
          <cell r="W62">
            <v>17664</v>
          </cell>
          <cell r="X62"/>
          <cell r="Y62"/>
          <cell r="Z62"/>
          <cell r="AA62"/>
          <cell r="AB62"/>
          <cell r="AC62"/>
          <cell r="AD62"/>
          <cell r="AE62"/>
          <cell r="AF62"/>
          <cell r="AG62"/>
          <cell r="AH62">
            <v>35616</v>
          </cell>
        </row>
        <row r="63">
          <cell r="D63">
            <v>0.2</v>
          </cell>
          <cell r="E63">
            <v>0.2</v>
          </cell>
          <cell r="F63">
            <v>0</v>
          </cell>
          <cell r="G63">
            <v>0</v>
          </cell>
          <cell r="H63">
            <v>0</v>
          </cell>
          <cell r="I63">
            <v>0</v>
          </cell>
          <cell r="J63">
            <v>0</v>
          </cell>
          <cell r="K63">
            <v>0</v>
          </cell>
          <cell r="L63">
            <v>0</v>
          </cell>
          <cell r="M63">
            <v>0</v>
          </cell>
          <cell r="N63">
            <v>0</v>
          </cell>
          <cell r="O63">
            <v>0</v>
          </cell>
          <cell r="P63">
            <v>0.2</v>
          </cell>
          <cell r="V63">
            <v>1424</v>
          </cell>
          <cell r="W63">
            <v>1711</v>
          </cell>
          <cell r="X63"/>
          <cell r="Y63"/>
          <cell r="Z63"/>
          <cell r="AA63"/>
          <cell r="AB63"/>
          <cell r="AC63"/>
          <cell r="AD63"/>
          <cell r="AE63"/>
          <cell r="AF63"/>
          <cell r="AG63"/>
          <cell r="AH63">
            <v>3135</v>
          </cell>
        </row>
        <row r="64">
          <cell r="D64">
            <v>69110</v>
          </cell>
          <cell r="E64">
            <v>70537</v>
          </cell>
          <cell r="F64">
            <v>0</v>
          </cell>
          <cell r="G64">
            <v>0</v>
          </cell>
          <cell r="H64">
            <v>0</v>
          </cell>
          <cell r="I64">
            <v>0</v>
          </cell>
          <cell r="J64">
            <v>0</v>
          </cell>
          <cell r="K64">
            <v>0</v>
          </cell>
          <cell r="L64">
            <v>0</v>
          </cell>
          <cell r="M64">
            <v>0</v>
          </cell>
          <cell r="N64">
            <v>0</v>
          </cell>
          <cell r="O64">
            <v>0</v>
          </cell>
          <cell r="P64">
            <v>139647</v>
          </cell>
          <cell r="V64">
            <v>7.3492981007431873E-2</v>
          </cell>
          <cell r="W64">
            <v>8.8309677419354846E-2</v>
          </cell>
          <cell r="X64"/>
          <cell r="Y64"/>
          <cell r="Z64"/>
          <cell r="AA64"/>
          <cell r="AB64"/>
          <cell r="AC64"/>
          <cell r="AD64"/>
          <cell r="AE64"/>
          <cell r="AF64"/>
          <cell r="AG64"/>
          <cell r="AH64">
            <v>8.8022237196765496E-2</v>
          </cell>
        </row>
        <row r="65">
          <cell r="D65">
            <v>69077</v>
          </cell>
          <cell r="E65">
            <v>70501</v>
          </cell>
          <cell r="F65">
            <v>0</v>
          </cell>
          <cell r="G65">
            <v>0</v>
          </cell>
          <cell r="H65">
            <v>0</v>
          </cell>
          <cell r="I65">
            <v>0</v>
          </cell>
          <cell r="J65">
            <v>0</v>
          </cell>
          <cell r="K65">
            <v>0</v>
          </cell>
          <cell r="L65">
            <v>0</v>
          </cell>
          <cell r="M65">
            <v>0</v>
          </cell>
          <cell r="N65">
            <v>0</v>
          </cell>
          <cell r="O65">
            <v>0</v>
          </cell>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v>0</v>
          </cell>
          <cell r="G66">
            <v>0</v>
          </cell>
          <cell r="H66">
            <v>0</v>
          </cell>
          <cell r="I66">
            <v>0</v>
          </cell>
          <cell r="J66">
            <v>0</v>
          </cell>
          <cell r="K66">
            <v>0</v>
          </cell>
          <cell r="L66">
            <v>0</v>
          </cell>
          <cell r="M66">
            <v>0</v>
          </cell>
          <cell r="N66">
            <v>0</v>
          </cell>
          <cell r="O66">
            <v>0</v>
          </cell>
          <cell r="P66">
            <v>0.99950589701175108</v>
          </cell>
          <cell r="V66">
            <v>10799</v>
          </cell>
          <cell r="W66">
            <v>11883</v>
          </cell>
          <cell r="X66"/>
          <cell r="Y66"/>
          <cell r="Z66"/>
          <cell r="AA66"/>
          <cell r="AB66"/>
          <cell r="AC66"/>
          <cell r="AD66"/>
          <cell r="AE66"/>
          <cell r="AF66"/>
          <cell r="AG66"/>
          <cell r="AH66">
            <v>22682</v>
          </cell>
        </row>
        <row r="67">
          <cell r="V67">
            <v>967</v>
          </cell>
          <cell r="W67">
            <v>1139</v>
          </cell>
          <cell r="X67"/>
          <cell r="Y67"/>
          <cell r="Z67"/>
          <cell r="AA67"/>
          <cell r="AB67"/>
          <cell r="AC67"/>
          <cell r="AD67"/>
          <cell r="AE67"/>
          <cell r="AF67"/>
          <cell r="AG67"/>
          <cell r="AH67">
            <v>2106</v>
          </cell>
        </row>
        <row r="68">
          <cell r="V68">
            <v>8.2185959544450113E-2</v>
          </cell>
          <cell r="W68">
            <v>8.7467362924281991E-2</v>
          </cell>
          <cell r="X68"/>
          <cell r="Y68"/>
          <cell r="Z68"/>
          <cell r="AA68"/>
          <cell r="AB68"/>
          <cell r="AC68"/>
          <cell r="AD68"/>
          <cell r="AE68"/>
          <cell r="AF68"/>
          <cell r="AG68"/>
          <cell r="AH68">
            <v>9.2848955118596241E-2</v>
          </cell>
        </row>
        <row r="69">
          <cell r="D69">
            <v>8.3333333333333329E-2</v>
          </cell>
          <cell r="E69">
            <v>8.3333333333333329E-2</v>
          </cell>
          <cell r="F69"/>
          <cell r="G69"/>
          <cell r="H69"/>
          <cell r="I69"/>
          <cell r="J69"/>
          <cell r="K69"/>
          <cell r="L69"/>
          <cell r="M69"/>
          <cell r="N69"/>
          <cell r="O69"/>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cell r="G70"/>
          <cell r="H70"/>
          <cell r="I70"/>
          <cell r="J70"/>
          <cell r="K70"/>
          <cell r="L70"/>
          <cell r="M70"/>
          <cell r="N70"/>
          <cell r="O70"/>
          <cell r="P70">
            <v>10255</v>
          </cell>
          <cell r="V70">
            <v>11207</v>
          </cell>
          <cell r="W70">
            <v>11758</v>
          </cell>
          <cell r="X70"/>
          <cell r="Y70"/>
          <cell r="Z70"/>
          <cell r="AA70"/>
          <cell r="AB70"/>
          <cell r="AC70"/>
          <cell r="AD70"/>
          <cell r="AE70"/>
          <cell r="AF70"/>
          <cell r="AG70"/>
          <cell r="AH70">
            <v>22965</v>
          </cell>
        </row>
        <row r="71">
          <cell r="D71">
            <v>4896</v>
          </cell>
          <cell r="E71">
            <v>5356</v>
          </cell>
          <cell r="F71"/>
          <cell r="G71"/>
          <cell r="H71"/>
          <cell r="I71"/>
          <cell r="J71"/>
          <cell r="K71"/>
          <cell r="L71"/>
          <cell r="M71"/>
          <cell r="N71"/>
          <cell r="O71"/>
          <cell r="P71">
            <v>10252</v>
          </cell>
          <cell r="V71">
            <v>1011</v>
          </cell>
          <cell r="W71">
            <v>934</v>
          </cell>
          <cell r="X71"/>
          <cell r="Y71"/>
          <cell r="Z71"/>
          <cell r="AA71"/>
          <cell r="AB71"/>
          <cell r="AC71"/>
          <cell r="AD71"/>
          <cell r="AE71"/>
          <cell r="AF71"/>
          <cell r="AG71"/>
          <cell r="AH71">
            <v>1945</v>
          </cell>
        </row>
        <row r="72">
          <cell r="D72">
            <v>1</v>
          </cell>
          <cell r="E72">
            <v>0.99944019406605711</v>
          </cell>
          <cell r="F72"/>
          <cell r="G72"/>
          <cell r="H72"/>
          <cell r="I72"/>
          <cell r="J72"/>
          <cell r="K72"/>
          <cell r="L72"/>
          <cell r="M72"/>
          <cell r="N72"/>
          <cell r="O72"/>
          <cell r="P72">
            <v>0.99970745977571918</v>
          </cell>
          <cell r="V72">
            <v>8.2746767064986085E-2</v>
          </cell>
          <cell r="W72">
            <v>7.3589662779703746E-2</v>
          </cell>
          <cell r="X72"/>
          <cell r="Y72"/>
          <cell r="Z72"/>
          <cell r="AA72"/>
          <cell r="AB72"/>
          <cell r="AC72"/>
          <cell r="AD72"/>
          <cell r="AE72"/>
          <cell r="AF72"/>
          <cell r="AG72"/>
          <cell r="AH72">
            <v>8.4694099716960597E-2</v>
          </cell>
        </row>
        <row r="73">
          <cell r="D73">
            <v>8.3333333333333329E-2</v>
          </cell>
          <cell r="E73">
            <v>8.3333333333333329E-2</v>
          </cell>
          <cell r="F73"/>
          <cell r="G73"/>
          <cell r="H73"/>
          <cell r="I73"/>
          <cell r="J73"/>
          <cell r="K73"/>
          <cell r="L73"/>
          <cell r="M73"/>
          <cell r="N73"/>
          <cell r="O73"/>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cell r="G74"/>
          <cell r="H74"/>
          <cell r="I74"/>
          <cell r="J74"/>
          <cell r="K74"/>
          <cell r="L74"/>
          <cell r="M74"/>
          <cell r="N74"/>
          <cell r="O74"/>
          <cell r="P74">
            <v>16433</v>
          </cell>
          <cell r="V74">
            <v>69110</v>
          </cell>
          <cell r="W74">
            <v>70537</v>
          </cell>
          <cell r="X74"/>
          <cell r="Y74"/>
          <cell r="Z74"/>
          <cell r="AA74"/>
          <cell r="AB74"/>
          <cell r="AC74"/>
          <cell r="AD74"/>
          <cell r="AE74"/>
          <cell r="AF74"/>
          <cell r="AG74"/>
          <cell r="AH74">
            <v>139647</v>
          </cell>
        </row>
        <row r="75">
          <cell r="D75">
            <v>7595</v>
          </cell>
          <cell r="E75">
            <v>8815</v>
          </cell>
          <cell r="F75"/>
          <cell r="G75"/>
          <cell r="H75"/>
          <cell r="I75"/>
          <cell r="J75"/>
          <cell r="K75"/>
          <cell r="L75"/>
          <cell r="M75"/>
          <cell r="N75"/>
          <cell r="O75"/>
          <cell r="P75">
            <v>16410</v>
          </cell>
          <cell r="V75">
            <v>5978</v>
          </cell>
          <cell r="W75">
            <v>6849</v>
          </cell>
          <cell r="X75"/>
          <cell r="Y75"/>
          <cell r="Z75"/>
          <cell r="AA75"/>
          <cell r="AB75"/>
          <cell r="AC75"/>
          <cell r="AD75"/>
          <cell r="AE75"/>
          <cell r="AF75"/>
          <cell r="AG75"/>
          <cell r="AH75">
            <v>12827</v>
          </cell>
        </row>
        <row r="76">
          <cell r="D76">
            <v>0.99829127234490012</v>
          </cell>
          <cell r="E76">
            <v>0.99886685552407928</v>
          </cell>
          <cell r="F76"/>
          <cell r="G76"/>
          <cell r="H76"/>
          <cell r="I76"/>
          <cell r="J76"/>
          <cell r="K76"/>
          <cell r="L76"/>
          <cell r="M76"/>
          <cell r="N76"/>
          <cell r="O76"/>
          <cell r="P76">
            <v>0.99860037728960016</v>
          </cell>
          <cell r="V76">
            <v>7.9613253782228846E-2</v>
          </cell>
          <cell r="W76">
            <v>8.8504380637324576E-2</v>
          </cell>
          <cell r="X76"/>
          <cell r="Y76"/>
          <cell r="Z76"/>
          <cell r="AA76"/>
          <cell r="AB76"/>
          <cell r="AC76"/>
          <cell r="AD76"/>
          <cell r="AE76"/>
          <cell r="AF76"/>
          <cell r="AG76"/>
          <cell r="AH76">
            <v>9.1853029424190991E-2</v>
          </cell>
        </row>
        <row r="77">
          <cell r="D77">
            <v>8.3333333333333329E-2</v>
          </cell>
          <cell r="E77">
            <v>8.3333333333333329E-2</v>
          </cell>
          <cell r="F77"/>
          <cell r="G77"/>
          <cell r="H77"/>
          <cell r="I77"/>
          <cell r="J77"/>
          <cell r="K77"/>
          <cell r="L77"/>
          <cell r="M77"/>
          <cell r="N77"/>
          <cell r="O77"/>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cell r="G78"/>
          <cell r="H78"/>
          <cell r="I78"/>
          <cell r="J78"/>
          <cell r="K78"/>
          <cell r="L78"/>
          <cell r="M78"/>
          <cell r="N78"/>
          <cell r="O78"/>
          <cell r="P78">
            <v>19198</v>
          </cell>
        </row>
        <row r="79">
          <cell r="D79">
            <v>8930</v>
          </cell>
          <cell r="E79">
            <v>10259</v>
          </cell>
          <cell r="F79"/>
          <cell r="G79"/>
          <cell r="H79"/>
          <cell r="I79"/>
          <cell r="J79"/>
          <cell r="K79"/>
          <cell r="L79"/>
          <cell r="M79"/>
          <cell r="N79"/>
          <cell r="O79"/>
          <cell r="P79">
            <v>19189</v>
          </cell>
        </row>
        <row r="80">
          <cell r="D80">
            <v>0.99944040290990488</v>
          </cell>
          <cell r="E80">
            <v>0.99961025041410889</v>
          </cell>
          <cell r="F80"/>
          <cell r="G80"/>
          <cell r="H80"/>
          <cell r="I80"/>
          <cell r="J80"/>
          <cell r="K80"/>
          <cell r="L80"/>
          <cell r="M80"/>
          <cell r="N80"/>
          <cell r="O80"/>
          <cell r="P80">
            <v>0.99953120116678817</v>
          </cell>
        </row>
        <row r="81">
          <cell r="D81">
            <v>8.3333333333333329E-2</v>
          </cell>
          <cell r="E81">
            <v>8.3333333333333329E-2</v>
          </cell>
          <cell r="F81"/>
          <cell r="G81"/>
          <cell r="H81"/>
          <cell r="I81"/>
          <cell r="J81"/>
          <cell r="K81"/>
          <cell r="L81"/>
          <cell r="M81"/>
          <cell r="N81"/>
          <cell r="O81"/>
          <cell r="P81">
            <v>8.3333333333333329E-2</v>
          </cell>
        </row>
        <row r="82">
          <cell r="D82">
            <v>4354</v>
          </cell>
          <cell r="E82">
            <v>5231</v>
          </cell>
          <cell r="F82"/>
          <cell r="G82"/>
          <cell r="H82"/>
          <cell r="I82"/>
          <cell r="J82"/>
          <cell r="K82"/>
          <cell r="L82"/>
          <cell r="M82"/>
          <cell r="N82"/>
          <cell r="O82"/>
          <cell r="P82">
            <v>9585</v>
          </cell>
        </row>
        <row r="83">
          <cell r="D83">
            <v>4353</v>
          </cell>
          <cell r="E83">
            <v>5228</v>
          </cell>
          <cell r="F83"/>
          <cell r="G83"/>
          <cell r="H83"/>
          <cell r="I83"/>
          <cell r="J83"/>
          <cell r="K83"/>
          <cell r="L83"/>
          <cell r="M83"/>
          <cell r="N83"/>
          <cell r="O83"/>
          <cell r="P83">
            <v>9581</v>
          </cell>
        </row>
        <row r="84">
          <cell r="D84">
            <v>0.99977032613688566</v>
          </cell>
          <cell r="E84">
            <v>0.99942649588988719</v>
          </cell>
          <cell r="F84"/>
          <cell r="G84"/>
          <cell r="H84"/>
          <cell r="I84"/>
          <cell r="J84"/>
          <cell r="K84"/>
          <cell r="L84"/>
          <cell r="M84"/>
          <cell r="N84"/>
          <cell r="O84"/>
          <cell r="P84">
            <v>0.99958268127282213</v>
          </cell>
        </row>
        <row r="85">
          <cell r="D85">
            <v>8.3333333333333329E-2</v>
          </cell>
          <cell r="E85">
            <v>8.3333333333333329E-2</v>
          </cell>
          <cell r="F85"/>
          <cell r="G85"/>
          <cell r="H85"/>
          <cell r="I85"/>
          <cell r="J85"/>
          <cell r="K85"/>
          <cell r="L85"/>
          <cell r="M85"/>
          <cell r="N85"/>
          <cell r="O85"/>
          <cell r="P85">
            <v>8.3333333333333329E-2</v>
          </cell>
        </row>
        <row r="86">
          <cell r="D86">
            <v>4628</v>
          </cell>
          <cell r="E86">
            <v>6140</v>
          </cell>
          <cell r="F86"/>
          <cell r="G86"/>
          <cell r="H86"/>
          <cell r="I86"/>
          <cell r="J86"/>
          <cell r="K86"/>
          <cell r="L86"/>
          <cell r="M86"/>
          <cell r="N86"/>
          <cell r="O86"/>
          <cell r="P86">
            <v>10768</v>
          </cell>
        </row>
        <row r="87">
          <cell r="D87">
            <v>4628</v>
          </cell>
          <cell r="E87">
            <v>6139</v>
          </cell>
          <cell r="F87"/>
          <cell r="G87"/>
          <cell r="H87"/>
          <cell r="I87"/>
          <cell r="J87"/>
          <cell r="K87"/>
          <cell r="L87"/>
          <cell r="M87"/>
          <cell r="N87"/>
          <cell r="O87"/>
          <cell r="P87">
            <v>10767</v>
          </cell>
        </row>
        <row r="88">
          <cell r="D88">
            <v>1</v>
          </cell>
          <cell r="E88">
            <v>0.99983713355048864</v>
          </cell>
          <cell r="F88"/>
          <cell r="G88"/>
          <cell r="H88"/>
          <cell r="I88"/>
          <cell r="J88"/>
          <cell r="K88"/>
          <cell r="L88"/>
          <cell r="M88"/>
          <cell r="N88"/>
          <cell r="O88"/>
          <cell r="P88">
            <v>0.99990713224368499</v>
          </cell>
        </row>
        <row r="89">
          <cell r="D89">
            <v>8.3333333333333329E-2</v>
          </cell>
          <cell r="E89">
            <v>8.3333333333333329E-2</v>
          </cell>
          <cell r="F89"/>
          <cell r="G89"/>
          <cell r="H89"/>
          <cell r="I89"/>
          <cell r="J89"/>
          <cell r="K89"/>
          <cell r="L89"/>
          <cell r="M89"/>
          <cell r="N89"/>
          <cell r="O89"/>
          <cell r="P89">
            <v>8.3333333333333329E-2</v>
          </cell>
        </row>
        <row r="90">
          <cell r="D90">
            <v>30421</v>
          </cell>
          <cell r="E90">
            <v>35818</v>
          </cell>
          <cell r="F90"/>
          <cell r="G90"/>
          <cell r="H90"/>
          <cell r="I90"/>
          <cell r="J90"/>
          <cell r="K90"/>
          <cell r="L90"/>
          <cell r="M90"/>
          <cell r="N90"/>
          <cell r="O90"/>
          <cell r="P90">
            <v>66239</v>
          </cell>
        </row>
        <row r="91">
          <cell r="D91">
            <v>30402</v>
          </cell>
          <cell r="E91">
            <v>35797</v>
          </cell>
          <cell r="F91"/>
          <cell r="G91"/>
          <cell r="H91"/>
          <cell r="I91"/>
          <cell r="J91"/>
          <cell r="K91"/>
          <cell r="L91"/>
          <cell r="M91"/>
          <cell r="N91"/>
          <cell r="O91"/>
          <cell r="P91">
            <v>66199</v>
          </cell>
        </row>
        <row r="92">
          <cell r="D92">
            <v>0.9993754314453831</v>
          </cell>
          <cell r="E92">
            <v>0.99941370260762741</v>
          </cell>
          <cell r="F92"/>
          <cell r="G92"/>
          <cell r="H92"/>
          <cell r="I92"/>
          <cell r="J92"/>
          <cell r="K92"/>
          <cell r="L92"/>
          <cell r="M92"/>
          <cell r="N92"/>
          <cell r="O92"/>
          <cell r="P92">
            <v>0.99939612614924744</v>
          </cell>
        </row>
        <row r="95">
          <cell r="D95">
            <v>1</v>
          </cell>
          <cell r="E95">
            <v>1</v>
          </cell>
          <cell r="F95"/>
          <cell r="G95"/>
          <cell r="H95"/>
          <cell r="I95"/>
          <cell r="J95"/>
          <cell r="K95"/>
          <cell r="L95"/>
          <cell r="M95"/>
          <cell r="N95"/>
          <cell r="O95"/>
          <cell r="P95">
            <v>1</v>
          </cell>
        </row>
        <row r="96">
          <cell r="D96">
            <v>1226</v>
          </cell>
          <cell r="E96">
            <v>1327</v>
          </cell>
          <cell r="F96"/>
          <cell r="G96"/>
          <cell r="H96"/>
          <cell r="I96"/>
          <cell r="J96"/>
          <cell r="K96"/>
          <cell r="L96"/>
          <cell r="M96"/>
          <cell r="N96"/>
          <cell r="O96"/>
          <cell r="P96">
            <v>2553</v>
          </cell>
        </row>
        <row r="97">
          <cell r="D97">
            <v>1226</v>
          </cell>
          <cell r="E97">
            <v>1327</v>
          </cell>
          <cell r="F97"/>
          <cell r="G97"/>
          <cell r="H97"/>
          <cell r="I97"/>
          <cell r="J97"/>
          <cell r="K97"/>
          <cell r="L97"/>
          <cell r="M97"/>
          <cell r="N97"/>
          <cell r="O97"/>
          <cell r="P97">
            <v>2553</v>
          </cell>
        </row>
        <row r="98">
          <cell r="D98">
            <v>1</v>
          </cell>
          <cell r="E98">
            <v>1</v>
          </cell>
          <cell r="F98"/>
          <cell r="G98"/>
          <cell r="H98"/>
          <cell r="I98"/>
          <cell r="J98"/>
          <cell r="K98"/>
          <cell r="L98"/>
          <cell r="M98"/>
          <cell r="N98"/>
          <cell r="O98"/>
          <cell r="P98">
            <v>1</v>
          </cell>
        </row>
        <row r="99">
          <cell r="D99">
            <v>0.7</v>
          </cell>
          <cell r="E99">
            <v>0.7</v>
          </cell>
          <cell r="F99"/>
          <cell r="G99"/>
          <cell r="H99"/>
          <cell r="I99"/>
          <cell r="J99"/>
          <cell r="K99"/>
          <cell r="L99"/>
          <cell r="M99"/>
          <cell r="N99"/>
          <cell r="O99"/>
          <cell r="P99">
            <v>0.7</v>
          </cell>
        </row>
        <row r="100">
          <cell r="D100">
            <v>2168</v>
          </cell>
          <cell r="E100">
            <v>1556</v>
          </cell>
          <cell r="F100"/>
          <cell r="G100"/>
          <cell r="H100"/>
          <cell r="I100"/>
          <cell r="J100"/>
          <cell r="K100"/>
          <cell r="L100"/>
          <cell r="M100"/>
          <cell r="N100"/>
          <cell r="O100"/>
          <cell r="P100">
            <v>3724</v>
          </cell>
        </row>
        <row r="101">
          <cell r="D101">
            <v>2168</v>
          </cell>
          <cell r="E101">
            <v>1556</v>
          </cell>
          <cell r="F101"/>
          <cell r="G101"/>
          <cell r="H101"/>
          <cell r="I101"/>
          <cell r="J101"/>
          <cell r="K101"/>
          <cell r="L101"/>
          <cell r="M101"/>
          <cell r="N101"/>
          <cell r="O101"/>
          <cell r="P101">
            <v>3724</v>
          </cell>
        </row>
        <row r="102">
          <cell r="D102">
            <v>1</v>
          </cell>
          <cell r="E102">
            <v>1</v>
          </cell>
          <cell r="F102"/>
          <cell r="G102"/>
          <cell r="H102"/>
          <cell r="I102"/>
          <cell r="J102"/>
          <cell r="K102"/>
          <cell r="L102"/>
          <cell r="M102"/>
          <cell r="N102"/>
          <cell r="O102"/>
          <cell r="P102">
            <v>1</v>
          </cell>
        </row>
        <row r="103">
          <cell r="D103">
            <v>0.6</v>
          </cell>
          <cell r="E103">
            <v>0.52082777036048056</v>
          </cell>
          <cell r="F103"/>
          <cell r="G103"/>
          <cell r="H103"/>
          <cell r="I103"/>
          <cell r="J103"/>
          <cell r="K103"/>
          <cell r="L103"/>
          <cell r="M103"/>
          <cell r="N103"/>
          <cell r="O103"/>
          <cell r="P103">
            <v>0.56407149348682217</v>
          </cell>
        </row>
        <row r="104">
          <cell r="D104">
            <v>1803</v>
          </cell>
          <cell r="E104">
            <v>1498</v>
          </cell>
          <cell r="F104"/>
          <cell r="G104"/>
          <cell r="H104"/>
          <cell r="I104"/>
          <cell r="J104"/>
          <cell r="K104"/>
          <cell r="L104"/>
          <cell r="M104"/>
          <cell r="N104"/>
          <cell r="O104"/>
          <cell r="P104">
            <v>3301</v>
          </cell>
        </row>
        <row r="105">
          <cell r="D105">
            <v>1803</v>
          </cell>
          <cell r="E105">
            <v>1498</v>
          </cell>
          <cell r="F105"/>
          <cell r="G105"/>
          <cell r="H105"/>
          <cell r="I105"/>
          <cell r="J105"/>
          <cell r="K105"/>
          <cell r="L105"/>
          <cell r="M105"/>
          <cell r="N105"/>
          <cell r="O105"/>
          <cell r="P105">
            <v>3301</v>
          </cell>
        </row>
        <row r="106">
          <cell r="D106">
            <v>1</v>
          </cell>
          <cell r="E106">
            <v>1</v>
          </cell>
          <cell r="F106"/>
          <cell r="G106"/>
          <cell r="H106"/>
          <cell r="I106"/>
          <cell r="J106"/>
          <cell r="K106"/>
          <cell r="L106"/>
          <cell r="M106"/>
          <cell r="N106"/>
          <cell r="O106"/>
          <cell r="P106">
            <v>1</v>
          </cell>
        </row>
        <row r="107">
          <cell r="D107">
            <v>0.7</v>
          </cell>
          <cell r="E107">
            <v>0.7</v>
          </cell>
          <cell r="F107"/>
          <cell r="G107"/>
          <cell r="H107"/>
          <cell r="I107"/>
          <cell r="J107"/>
          <cell r="K107"/>
          <cell r="L107"/>
          <cell r="M107"/>
          <cell r="N107"/>
          <cell r="O107"/>
          <cell r="P107">
            <v>0.70000000000000007</v>
          </cell>
        </row>
        <row r="108">
          <cell r="D108">
            <v>1720</v>
          </cell>
          <cell r="E108">
            <v>1404</v>
          </cell>
          <cell r="F108"/>
          <cell r="G108"/>
          <cell r="H108"/>
          <cell r="I108"/>
          <cell r="J108"/>
          <cell r="K108"/>
          <cell r="L108"/>
          <cell r="M108"/>
          <cell r="N108"/>
          <cell r="O108"/>
          <cell r="P108">
            <v>3124</v>
          </cell>
        </row>
        <row r="109">
          <cell r="D109">
            <v>1719</v>
          </cell>
          <cell r="E109">
            <v>1402</v>
          </cell>
          <cell r="F109"/>
          <cell r="G109"/>
          <cell r="H109"/>
          <cell r="I109"/>
          <cell r="J109"/>
          <cell r="K109"/>
          <cell r="L109"/>
          <cell r="M109"/>
          <cell r="N109"/>
          <cell r="O109"/>
          <cell r="P109">
            <v>3121</v>
          </cell>
        </row>
        <row r="110">
          <cell r="D110">
            <v>0.99941860465116283</v>
          </cell>
          <cell r="E110">
            <v>0.99857549857549854</v>
          </cell>
          <cell r="F110"/>
          <cell r="G110"/>
          <cell r="H110"/>
          <cell r="I110"/>
          <cell r="J110"/>
          <cell r="K110"/>
          <cell r="L110"/>
          <cell r="M110"/>
          <cell r="N110"/>
          <cell r="O110"/>
          <cell r="P110">
            <v>0.99903969270166448</v>
          </cell>
        </row>
        <row r="111">
          <cell r="D111">
            <v>0.7</v>
          </cell>
          <cell r="E111">
            <v>0.7</v>
          </cell>
          <cell r="F111"/>
          <cell r="G111"/>
          <cell r="H111"/>
          <cell r="I111"/>
          <cell r="J111"/>
          <cell r="K111"/>
          <cell r="L111"/>
          <cell r="M111"/>
          <cell r="N111"/>
          <cell r="O111"/>
          <cell r="P111">
            <v>0.7</v>
          </cell>
        </row>
        <row r="112">
          <cell r="D112">
            <v>1641</v>
          </cell>
          <cell r="E112">
            <v>1818</v>
          </cell>
          <cell r="F112"/>
          <cell r="G112"/>
          <cell r="H112"/>
          <cell r="I112"/>
          <cell r="J112"/>
          <cell r="K112"/>
          <cell r="L112"/>
          <cell r="M112"/>
          <cell r="N112"/>
          <cell r="O112"/>
          <cell r="P112">
            <v>3459</v>
          </cell>
        </row>
        <row r="113">
          <cell r="D113">
            <v>1641</v>
          </cell>
          <cell r="E113">
            <v>1818</v>
          </cell>
          <cell r="F113"/>
          <cell r="G113"/>
          <cell r="H113"/>
          <cell r="I113"/>
          <cell r="J113"/>
          <cell r="K113"/>
          <cell r="L113"/>
          <cell r="M113"/>
          <cell r="N113"/>
          <cell r="O113"/>
          <cell r="P113">
            <v>3459</v>
          </cell>
        </row>
        <row r="114">
          <cell r="D114">
            <v>1</v>
          </cell>
          <cell r="E114">
            <v>1</v>
          </cell>
          <cell r="F114"/>
          <cell r="G114"/>
          <cell r="H114"/>
          <cell r="I114"/>
          <cell r="J114"/>
          <cell r="K114"/>
          <cell r="L114"/>
          <cell r="M114"/>
          <cell r="N114"/>
          <cell r="O114"/>
          <cell r="P114">
            <v>1</v>
          </cell>
        </row>
        <row r="115">
          <cell r="D115">
            <v>0.7</v>
          </cell>
          <cell r="E115">
            <v>0.7</v>
          </cell>
          <cell r="F115"/>
          <cell r="G115"/>
          <cell r="H115"/>
          <cell r="I115"/>
          <cell r="J115"/>
          <cell r="K115"/>
          <cell r="L115"/>
          <cell r="M115"/>
          <cell r="N115"/>
          <cell r="O115"/>
          <cell r="P115">
            <v>0.7</v>
          </cell>
        </row>
        <row r="116">
          <cell r="D116">
            <v>8558</v>
          </cell>
          <cell r="E116">
            <v>7603</v>
          </cell>
          <cell r="F116"/>
          <cell r="G116"/>
          <cell r="H116"/>
          <cell r="I116"/>
          <cell r="J116"/>
          <cell r="K116"/>
          <cell r="L116"/>
          <cell r="M116"/>
          <cell r="N116"/>
          <cell r="O116"/>
          <cell r="P116">
            <v>16161</v>
          </cell>
        </row>
        <row r="117">
          <cell r="D117">
            <v>8557</v>
          </cell>
          <cell r="E117">
            <v>7601</v>
          </cell>
          <cell r="F117"/>
          <cell r="G117"/>
          <cell r="H117"/>
          <cell r="I117"/>
          <cell r="J117"/>
          <cell r="K117"/>
          <cell r="L117"/>
          <cell r="M117"/>
          <cell r="N117"/>
          <cell r="O117"/>
          <cell r="P117">
            <v>16158</v>
          </cell>
        </row>
        <row r="118">
          <cell r="D118">
            <v>0.99988315026875441</v>
          </cell>
          <cell r="E118">
            <v>0.99973694594239115</v>
          </cell>
          <cell r="F118"/>
          <cell r="G118"/>
          <cell r="H118"/>
          <cell r="I118"/>
          <cell r="J118"/>
          <cell r="K118"/>
          <cell r="L118"/>
          <cell r="M118"/>
          <cell r="N118"/>
          <cell r="O118"/>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v>0</v>
          </cell>
          <cell r="I3">
            <v>0</v>
          </cell>
          <cell r="J3">
            <v>0</v>
          </cell>
          <cell r="K3">
            <v>0</v>
          </cell>
          <cell r="L3">
            <v>0</v>
          </cell>
          <cell r="M3">
            <v>0</v>
          </cell>
          <cell r="N3">
            <v>0</v>
          </cell>
          <cell r="O3">
            <v>0</v>
          </cell>
          <cell r="P3">
            <v>0</v>
          </cell>
          <cell r="Q3">
            <v>0</v>
          </cell>
        </row>
        <row r="4">
          <cell r="F4">
            <v>606</v>
          </cell>
          <cell r="G4">
            <v>761</v>
          </cell>
          <cell r="H4">
            <v>0</v>
          </cell>
          <cell r="I4">
            <v>0</v>
          </cell>
          <cell r="J4">
            <v>0</v>
          </cell>
          <cell r="K4">
            <v>0</v>
          </cell>
          <cell r="L4">
            <v>0</v>
          </cell>
          <cell r="M4">
            <v>0</v>
          </cell>
          <cell r="N4">
            <v>0</v>
          </cell>
          <cell r="O4">
            <v>0</v>
          </cell>
          <cell r="P4">
            <v>0</v>
          </cell>
          <cell r="Q4">
            <v>0</v>
          </cell>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cell r="F4"/>
          <cell r="G4"/>
          <cell r="H4"/>
          <cell r="I4"/>
          <cell r="J4"/>
          <cell r="K4"/>
          <cell r="L4"/>
          <cell r="M4"/>
          <cell r="N4"/>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cell r="F5"/>
          <cell r="G5"/>
          <cell r="H5"/>
          <cell r="I5"/>
          <cell r="J5"/>
          <cell r="K5"/>
          <cell r="L5"/>
          <cell r="M5"/>
          <cell r="N5"/>
          <cell r="O5"/>
        </row>
        <row r="6">
          <cell r="C6">
            <v>0.98</v>
          </cell>
          <cell r="D6">
            <v>0.98199999999999998</v>
          </cell>
          <cell r="E6"/>
          <cell r="F6"/>
          <cell r="G6"/>
          <cell r="H6"/>
          <cell r="I6"/>
          <cell r="J6"/>
          <cell r="K6"/>
          <cell r="L6"/>
          <cell r="M6"/>
          <cell r="N6"/>
          <cell r="O6"/>
        </row>
        <row r="7">
          <cell r="C7">
            <v>0.81</v>
          </cell>
          <cell r="D7">
            <v>0.94199999999999995</v>
          </cell>
          <cell r="E7"/>
          <cell r="F7"/>
          <cell r="G7"/>
          <cell r="H7"/>
          <cell r="I7"/>
          <cell r="J7"/>
          <cell r="K7"/>
          <cell r="L7"/>
          <cell r="M7"/>
          <cell r="N7"/>
          <cell r="O7"/>
        </row>
        <row r="8">
          <cell r="C8">
            <v>0.67400000000000004</v>
          </cell>
          <cell r="D8">
            <v>0.86399999999999999</v>
          </cell>
          <cell r="E8"/>
          <cell r="F8"/>
          <cell r="G8"/>
          <cell r="H8"/>
          <cell r="I8"/>
          <cell r="J8"/>
          <cell r="K8"/>
          <cell r="L8"/>
          <cell r="M8"/>
          <cell r="N8"/>
          <cell r="O8"/>
        </row>
        <row r="9">
          <cell r="C9">
            <v>0.97</v>
          </cell>
          <cell r="D9">
            <v>0.97799999999999998</v>
          </cell>
          <cell r="E9"/>
          <cell r="F9"/>
          <cell r="G9"/>
          <cell r="H9"/>
          <cell r="I9"/>
          <cell r="J9"/>
          <cell r="K9"/>
          <cell r="L9"/>
          <cell r="M9"/>
          <cell r="N9"/>
          <cell r="O9"/>
        </row>
        <row r="10">
          <cell r="C10">
            <v>0.89</v>
          </cell>
          <cell r="D10">
            <v>0.89</v>
          </cell>
          <cell r="E10"/>
          <cell r="F10"/>
          <cell r="G10"/>
          <cell r="H10"/>
          <cell r="I10"/>
          <cell r="J10"/>
          <cell r="K10"/>
          <cell r="L10"/>
          <cell r="M10"/>
          <cell r="N10"/>
          <cell r="O10"/>
        </row>
        <row r="11">
          <cell r="C11">
            <v>0.90700000000000003</v>
          </cell>
          <cell r="D11">
            <v>0.92</v>
          </cell>
          <cell r="E11"/>
          <cell r="F11"/>
          <cell r="G11"/>
          <cell r="H11"/>
          <cell r="I11"/>
          <cell r="J11"/>
          <cell r="K11"/>
          <cell r="L11"/>
          <cell r="M11"/>
          <cell r="N11"/>
          <cell r="O11"/>
        </row>
        <row r="12">
          <cell r="C12">
            <v>0.89200000000000002</v>
          </cell>
          <cell r="D12">
            <v>0.87</v>
          </cell>
          <cell r="E12"/>
          <cell r="F12"/>
          <cell r="G12"/>
          <cell r="H12"/>
          <cell r="I12"/>
          <cell r="J12"/>
          <cell r="K12"/>
          <cell r="L12"/>
          <cell r="M12"/>
          <cell r="N12"/>
          <cell r="O12"/>
        </row>
        <row r="13">
          <cell r="C13">
            <v>0.79679999999999995</v>
          </cell>
          <cell r="D13">
            <v>0.92500000000000004</v>
          </cell>
          <cell r="E13"/>
          <cell r="F13"/>
          <cell r="G13"/>
          <cell r="H13"/>
          <cell r="I13"/>
          <cell r="J13"/>
          <cell r="K13"/>
          <cell r="L13"/>
          <cell r="M13"/>
          <cell r="N13"/>
          <cell r="O13"/>
        </row>
        <row r="14">
          <cell r="C14">
            <v>0.81499999999999995</v>
          </cell>
          <cell r="D14">
            <v>0.89400000000000002</v>
          </cell>
          <cell r="E14"/>
          <cell r="F14"/>
          <cell r="G14"/>
          <cell r="H14"/>
          <cell r="I14"/>
          <cell r="J14"/>
          <cell r="K14"/>
          <cell r="L14"/>
          <cell r="M14"/>
          <cell r="N14"/>
          <cell r="O14"/>
        </row>
        <row r="15">
          <cell r="C15">
            <v>0.88029999999999997</v>
          </cell>
          <cell r="D15">
            <v>0.88</v>
          </cell>
          <cell r="E15"/>
          <cell r="F15"/>
          <cell r="G15"/>
          <cell r="H15"/>
          <cell r="I15"/>
          <cell r="J15"/>
          <cell r="K15"/>
          <cell r="L15"/>
          <cell r="M15"/>
          <cell r="N15"/>
          <cell r="O15"/>
        </row>
        <row r="16">
          <cell r="C16">
            <v>0.88900000000000001</v>
          </cell>
          <cell r="D16">
            <v>0.92</v>
          </cell>
          <cell r="E16"/>
          <cell r="F16"/>
          <cell r="G16"/>
          <cell r="H16"/>
          <cell r="I16"/>
          <cell r="J16"/>
          <cell r="K16"/>
          <cell r="L16"/>
          <cell r="M16"/>
          <cell r="N16"/>
          <cell r="O16"/>
        </row>
        <row r="17">
          <cell r="C17">
            <v>0.81499999999999995</v>
          </cell>
          <cell r="D17">
            <v>0.88500000000000001</v>
          </cell>
          <cell r="E17"/>
          <cell r="F17"/>
          <cell r="G17"/>
          <cell r="H17"/>
          <cell r="I17"/>
          <cell r="J17"/>
          <cell r="K17"/>
          <cell r="L17"/>
          <cell r="M17"/>
          <cell r="N17"/>
          <cell r="O17"/>
        </row>
        <row r="18">
          <cell r="C18">
            <v>0.89559999999999995</v>
          </cell>
          <cell r="D18">
            <v>0.82799999999999996</v>
          </cell>
          <cell r="E18"/>
          <cell r="F18"/>
          <cell r="G18"/>
          <cell r="H18"/>
          <cell r="I18"/>
          <cell r="J18"/>
          <cell r="K18"/>
          <cell r="L18"/>
          <cell r="M18"/>
          <cell r="N18"/>
          <cell r="O18"/>
        </row>
        <row r="19">
          <cell r="C19">
            <v>0.7782</v>
          </cell>
          <cell r="D19">
            <v>0.80600000000000005</v>
          </cell>
          <cell r="E19"/>
          <cell r="F19"/>
          <cell r="G19"/>
          <cell r="H19"/>
          <cell r="I19"/>
          <cell r="J19"/>
          <cell r="K19"/>
          <cell r="L19"/>
          <cell r="M19"/>
          <cell r="N19"/>
          <cell r="O19"/>
        </row>
        <row r="20">
          <cell r="C20">
            <v>0.85150000000000003</v>
          </cell>
          <cell r="D20">
            <v>0.89600000000000002</v>
          </cell>
          <cell r="E20"/>
          <cell r="F20"/>
          <cell r="G20"/>
          <cell r="H20"/>
          <cell r="I20"/>
          <cell r="J20"/>
          <cell r="K20"/>
          <cell r="L20"/>
          <cell r="M20"/>
          <cell r="N20"/>
          <cell r="O20"/>
        </row>
        <row r="21">
          <cell r="C21">
            <v>0.89549999999999996</v>
          </cell>
          <cell r="D21">
            <v>0.92</v>
          </cell>
          <cell r="E21"/>
          <cell r="F21"/>
          <cell r="G21"/>
          <cell r="H21"/>
          <cell r="I21"/>
          <cell r="J21"/>
          <cell r="K21"/>
          <cell r="L21"/>
          <cell r="M21"/>
          <cell r="N21"/>
          <cell r="O21"/>
        </row>
        <row r="22">
          <cell r="C22"/>
          <cell r="D22"/>
          <cell r="E22"/>
          <cell r="F22"/>
          <cell r="G22"/>
          <cell r="H22"/>
          <cell r="I22"/>
          <cell r="J22"/>
          <cell r="K22"/>
          <cell r="L22"/>
          <cell r="M22"/>
          <cell r="N22"/>
          <cell r="O22"/>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cell r="E4"/>
          <cell r="F4"/>
          <cell r="G4"/>
          <cell r="H4"/>
          <cell r="I4"/>
          <cell r="J4"/>
          <cell r="K4"/>
          <cell r="L4"/>
          <cell r="M4"/>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cell r="E10"/>
          <cell r="F10"/>
          <cell r="G10"/>
          <cell r="H10"/>
          <cell r="I10"/>
          <cell r="J10"/>
          <cell r="K10"/>
          <cell r="L10"/>
          <cell r="M10"/>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cell r="E15"/>
          <cell r="F15"/>
          <cell r="G15"/>
          <cell r="H15"/>
          <cell r="I15"/>
          <cell r="J15"/>
          <cell r="K15"/>
          <cell r="L15"/>
          <cell r="M15"/>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cell r="G2"/>
          <cell r="H2"/>
          <cell r="I2"/>
          <cell r="J2"/>
          <cell r="K2"/>
          <cell r="L2"/>
          <cell r="M2"/>
          <cell r="N2"/>
          <cell r="O2"/>
          <cell r="P2"/>
        </row>
        <row r="3">
          <cell r="D3">
            <v>7.5231481481481477E-3</v>
          </cell>
          <cell r="E3">
            <v>6.1921296296296299E-3</v>
          </cell>
          <cell r="F3"/>
          <cell r="G3"/>
          <cell r="H3"/>
          <cell r="I3"/>
          <cell r="J3"/>
          <cell r="K3"/>
          <cell r="L3"/>
          <cell r="M3"/>
          <cell r="N3"/>
          <cell r="O3"/>
          <cell r="P3"/>
        </row>
        <row r="4">
          <cell r="D4">
            <v>4.6412037037037038E-3</v>
          </cell>
          <cell r="E4">
            <v>5.0925925925925921E-3</v>
          </cell>
          <cell r="F4"/>
          <cell r="G4"/>
          <cell r="H4"/>
          <cell r="I4"/>
          <cell r="J4"/>
          <cell r="K4"/>
          <cell r="L4"/>
          <cell r="M4"/>
          <cell r="N4"/>
          <cell r="O4"/>
          <cell r="P4"/>
        </row>
        <row r="5">
          <cell r="D5">
            <v>7.5462962962962966E-3</v>
          </cell>
          <cell r="E5">
            <v>6.7129629629629622E-3</v>
          </cell>
          <cell r="F5"/>
          <cell r="G5"/>
          <cell r="H5"/>
          <cell r="I5"/>
          <cell r="J5"/>
          <cell r="K5"/>
          <cell r="L5"/>
          <cell r="M5"/>
          <cell r="N5"/>
          <cell r="O5"/>
          <cell r="P5"/>
        </row>
        <row r="6">
          <cell r="D6">
            <v>5.4976851851851853E-3</v>
          </cell>
          <cell r="E6">
            <v>4.9884259259259265E-3</v>
          </cell>
          <cell r="F6"/>
          <cell r="G6"/>
          <cell r="H6"/>
          <cell r="I6"/>
          <cell r="J6"/>
          <cell r="K6"/>
          <cell r="L6"/>
          <cell r="M6"/>
          <cell r="N6"/>
          <cell r="O6"/>
          <cell r="P6"/>
        </row>
        <row r="7">
          <cell r="D7">
            <v>6.3425925925925915E-3</v>
          </cell>
          <cell r="E7">
            <v>6.2962962962962964E-3</v>
          </cell>
          <cell r="F7"/>
          <cell r="G7"/>
          <cell r="H7"/>
          <cell r="I7"/>
          <cell r="J7"/>
          <cell r="K7"/>
          <cell r="L7"/>
          <cell r="M7"/>
          <cell r="N7"/>
          <cell r="O7"/>
          <cell r="P7"/>
        </row>
        <row r="8">
          <cell r="D8">
            <v>2.4409722222222222E-2</v>
          </cell>
          <cell r="E8">
            <v>2.0601851851851854E-2</v>
          </cell>
          <cell r="F8"/>
          <cell r="G8"/>
          <cell r="H8"/>
          <cell r="I8"/>
          <cell r="J8"/>
          <cell r="K8"/>
          <cell r="L8"/>
          <cell r="M8"/>
          <cell r="N8"/>
          <cell r="O8"/>
          <cell r="P8"/>
        </row>
        <row r="9">
          <cell r="D9">
            <v>1.275462962962963E-2</v>
          </cell>
          <cell r="E9">
            <v>1.4710648148148148E-2</v>
          </cell>
          <cell r="F9"/>
          <cell r="G9"/>
          <cell r="H9"/>
          <cell r="I9"/>
          <cell r="J9"/>
          <cell r="K9"/>
          <cell r="L9"/>
          <cell r="M9"/>
          <cell r="N9"/>
          <cell r="O9"/>
          <cell r="P9"/>
        </row>
        <row r="10">
          <cell r="D10">
            <v>2.2222222222222223E-2</v>
          </cell>
          <cell r="E10">
            <v>1.9918981481481482E-2</v>
          </cell>
          <cell r="F10"/>
          <cell r="G10"/>
          <cell r="H10"/>
          <cell r="I10"/>
          <cell r="J10"/>
          <cell r="K10"/>
          <cell r="L10"/>
          <cell r="M10"/>
          <cell r="N10"/>
          <cell r="O10"/>
          <cell r="P10"/>
        </row>
        <row r="11">
          <cell r="D11"/>
          <cell r="E11"/>
          <cell r="F11"/>
          <cell r="G11"/>
          <cell r="H11"/>
          <cell r="I11"/>
          <cell r="J11"/>
          <cell r="K11"/>
          <cell r="L11"/>
          <cell r="M11"/>
          <cell r="N11"/>
          <cell r="O11"/>
          <cell r="P11"/>
        </row>
        <row r="12">
          <cell r="D12">
            <v>7.3842592592592597E-3</v>
          </cell>
          <cell r="E12">
            <v>6.9791666666666674E-3</v>
          </cell>
          <cell r="F12"/>
          <cell r="G12"/>
          <cell r="H12"/>
          <cell r="I12"/>
          <cell r="J12"/>
          <cell r="K12"/>
          <cell r="L12"/>
          <cell r="M12"/>
          <cell r="N12"/>
          <cell r="O12"/>
          <cell r="P12"/>
        </row>
        <row r="13">
          <cell r="D13">
            <v>6.828703703703704E-3</v>
          </cell>
          <cell r="E13">
            <v>6.7245370370370367E-3</v>
          </cell>
          <cell r="F13"/>
          <cell r="G13"/>
          <cell r="H13"/>
          <cell r="I13"/>
          <cell r="J13"/>
          <cell r="K13"/>
          <cell r="L13"/>
          <cell r="M13"/>
          <cell r="N13"/>
          <cell r="O13"/>
          <cell r="P13"/>
        </row>
        <row r="14">
          <cell r="D14">
            <v>1.0798611111111111E-2</v>
          </cell>
          <cell r="E14">
            <v>1.0266203703703703E-2</v>
          </cell>
          <cell r="F14"/>
          <cell r="G14"/>
          <cell r="H14"/>
          <cell r="I14"/>
          <cell r="J14"/>
          <cell r="K14"/>
          <cell r="L14"/>
          <cell r="M14"/>
          <cell r="N14"/>
          <cell r="O14"/>
          <cell r="P14"/>
        </row>
        <row r="15">
          <cell r="D15">
            <v>8.7615740740740744E-3</v>
          </cell>
          <cell r="E15">
            <v>8.518518518518519E-3</v>
          </cell>
          <cell r="F15"/>
          <cell r="G15"/>
          <cell r="H15"/>
          <cell r="I15"/>
          <cell r="J15"/>
          <cell r="K15"/>
          <cell r="L15"/>
          <cell r="M15"/>
          <cell r="N15"/>
          <cell r="O15"/>
          <cell r="P15"/>
        </row>
        <row r="16">
          <cell r="D16">
            <v>8.113425925925925E-3</v>
          </cell>
          <cell r="E16">
            <v>7.8125E-3</v>
          </cell>
          <cell r="F16"/>
          <cell r="G16"/>
          <cell r="H16"/>
          <cell r="I16"/>
          <cell r="J16"/>
          <cell r="K16"/>
          <cell r="L16"/>
          <cell r="M16"/>
          <cell r="N16"/>
          <cell r="O16"/>
          <cell r="P16"/>
        </row>
        <row r="17">
          <cell r="D17">
            <v>2.5578703703703705E-3</v>
          </cell>
          <cell r="E17">
            <v>1.7476851851851852E-3</v>
          </cell>
          <cell r="F17"/>
          <cell r="G17"/>
          <cell r="H17"/>
          <cell r="I17"/>
          <cell r="J17"/>
          <cell r="K17"/>
          <cell r="L17"/>
          <cell r="M17"/>
          <cell r="N17"/>
          <cell r="O17"/>
          <cell r="P17"/>
        </row>
        <row r="18">
          <cell r="D18">
            <v>4.2824074074074075E-3</v>
          </cell>
          <cell r="E18">
            <v>3.530092592592592E-3</v>
          </cell>
          <cell r="F18"/>
          <cell r="G18"/>
          <cell r="H18"/>
          <cell r="I18"/>
          <cell r="J18"/>
          <cell r="K18"/>
          <cell r="L18"/>
          <cell r="M18"/>
          <cell r="N18"/>
          <cell r="O18"/>
          <cell r="P18"/>
        </row>
        <row r="19">
          <cell r="D19">
            <v>3.1435185185185184E-2</v>
          </cell>
          <cell r="E19">
            <v>3.4444444444444444E-2</v>
          </cell>
          <cell r="F19"/>
          <cell r="G19"/>
          <cell r="H19"/>
          <cell r="I19"/>
          <cell r="J19"/>
          <cell r="K19"/>
          <cell r="L19"/>
          <cell r="M19"/>
          <cell r="N19"/>
          <cell r="O19"/>
          <cell r="P19"/>
        </row>
        <row r="20">
          <cell r="D20">
            <v>4.5138888888888893E-3</v>
          </cell>
          <cell r="E20">
            <v>3.7962962962962963E-3</v>
          </cell>
          <cell r="F20"/>
          <cell r="G20"/>
          <cell r="H20"/>
          <cell r="I20"/>
          <cell r="J20"/>
          <cell r="K20"/>
          <cell r="L20"/>
          <cell r="M20"/>
          <cell r="N20"/>
          <cell r="O20"/>
          <cell r="P20"/>
        </row>
        <row r="21">
          <cell r="D21">
            <v>7.8356481481481489E-3</v>
          </cell>
          <cell r="E21">
            <v>7.5115740740740742E-3</v>
          </cell>
          <cell r="F21"/>
          <cell r="G21"/>
          <cell r="H21"/>
          <cell r="I21"/>
          <cell r="J21"/>
          <cell r="K21"/>
          <cell r="L21"/>
          <cell r="M21"/>
          <cell r="N21"/>
          <cell r="O21"/>
          <cell r="P21"/>
        </row>
        <row r="22">
          <cell r="D22">
            <v>9.4444444444444445E-3</v>
          </cell>
          <cell r="E22">
            <v>5.37037037037037E-3</v>
          </cell>
          <cell r="F22"/>
          <cell r="G22"/>
          <cell r="H22"/>
          <cell r="I22"/>
          <cell r="J22"/>
          <cell r="K22"/>
          <cell r="L22"/>
          <cell r="M22"/>
          <cell r="N22"/>
          <cell r="O22"/>
          <cell r="P22"/>
        </row>
        <row r="23">
          <cell r="D23">
            <v>1.5011574074074075E-2</v>
          </cell>
          <cell r="E23">
            <v>1.3402777777777777E-2</v>
          </cell>
          <cell r="F23"/>
          <cell r="G23"/>
          <cell r="H23"/>
          <cell r="I23"/>
          <cell r="J23"/>
          <cell r="K23"/>
          <cell r="L23"/>
          <cell r="M23"/>
          <cell r="N23"/>
          <cell r="O23"/>
          <cell r="P23"/>
        </row>
        <row r="24">
          <cell r="D24">
            <v>6.3020833333333331E-2</v>
          </cell>
          <cell r="E24">
            <v>6.3969907407407406E-2</v>
          </cell>
          <cell r="F24"/>
          <cell r="G24"/>
          <cell r="H24"/>
          <cell r="I24"/>
          <cell r="J24"/>
          <cell r="K24"/>
          <cell r="L24"/>
          <cell r="M24"/>
          <cell r="N24"/>
          <cell r="O24"/>
          <cell r="P24"/>
        </row>
        <row r="25">
          <cell r="D25">
            <v>1.4965277777777779E-2</v>
          </cell>
          <cell r="E25">
            <v>1.3842592592592594E-2</v>
          </cell>
          <cell r="F25"/>
          <cell r="G25"/>
          <cell r="H25"/>
          <cell r="I25"/>
          <cell r="J25"/>
          <cell r="K25"/>
          <cell r="L25"/>
          <cell r="M25"/>
          <cell r="N25"/>
          <cell r="O25"/>
          <cell r="P25"/>
        </row>
        <row r="26">
          <cell r="D26"/>
          <cell r="E26"/>
          <cell r="F26"/>
          <cell r="G26"/>
          <cell r="H26"/>
          <cell r="I26"/>
          <cell r="J26"/>
          <cell r="K26"/>
          <cell r="L26"/>
          <cell r="M26"/>
          <cell r="N26"/>
          <cell r="O26"/>
          <cell r="P26"/>
        </row>
        <row r="27">
          <cell r="D27">
            <v>7.4652777777777781E-3</v>
          </cell>
          <cell r="E27">
            <v>6.2500000000000003E-3</v>
          </cell>
          <cell r="F27"/>
          <cell r="G27"/>
          <cell r="H27"/>
          <cell r="I27"/>
          <cell r="J27"/>
          <cell r="K27"/>
          <cell r="L27"/>
          <cell r="M27"/>
          <cell r="N27"/>
          <cell r="O27"/>
          <cell r="P27"/>
        </row>
        <row r="28">
          <cell r="D28">
            <v>7.8125E-3</v>
          </cell>
          <cell r="E28">
            <v>6.2268518518518515E-3</v>
          </cell>
          <cell r="F28"/>
          <cell r="G28"/>
          <cell r="H28"/>
          <cell r="I28"/>
          <cell r="J28"/>
          <cell r="K28"/>
          <cell r="L28"/>
          <cell r="M28"/>
          <cell r="N28"/>
          <cell r="O28"/>
          <cell r="P28"/>
        </row>
        <row r="29">
          <cell r="D29">
            <v>1.5416666666666667E-2</v>
          </cell>
          <cell r="E29">
            <v>1.3923611111111111E-2</v>
          </cell>
          <cell r="F29"/>
          <cell r="G29"/>
          <cell r="H29"/>
          <cell r="I29"/>
          <cell r="J29"/>
          <cell r="K29"/>
          <cell r="L29"/>
          <cell r="M29"/>
          <cell r="N29"/>
          <cell r="O29"/>
          <cell r="P29"/>
        </row>
        <row r="30">
          <cell r="D30">
            <v>8.5300925925925926E-3</v>
          </cell>
          <cell r="E30">
            <v>7.2685185185185188E-3</v>
          </cell>
          <cell r="F30"/>
          <cell r="G30"/>
          <cell r="H30"/>
          <cell r="I30"/>
          <cell r="J30"/>
          <cell r="K30"/>
          <cell r="L30"/>
          <cell r="M30"/>
          <cell r="N30"/>
          <cell r="O30"/>
          <cell r="P30"/>
        </row>
        <row r="31">
          <cell r="D31">
            <v>9.0046296296296298E-3</v>
          </cell>
          <cell r="E31">
            <v>7.6273148148148151E-3</v>
          </cell>
          <cell r="F31"/>
          <cell r="G31"/>
          <cell r="H31"/>
          <cell r="I31"/>
          <cell r="J31"/>
          <cell r="K31"/>
          <cell r="L31"/>
          <cell r="M31"/>
          <cell r="N31"/>
          <cell r="O31"/>
          <cell r="P31"/>
        </row>
        <row r="32">
          <cell r="D32">
            <v>1.8634259259259261E-3</v>
          </cell>
          <cell r="E32">
            <v>1.8402777777777777E-3</v>
          </cell>
          <cell r="F32"/>
          <cell r="G32"/>
          <cell r="H32"/>
          <cell r="I32"/>
          <cell r="J32"/>
          <cell r="K32"/>
          <cell r="L32"/>
          <cell r="M32"/>
          <cell r="N32"/>
          <cell r="O32"/>
          <cell r="P32"/>
        </row>
        <row r="33">
          <cell r="D33">
            <v>3.0439814814814821E-3</v>
          </cell>
          <cell r="E33">
            <v>3.0439814814814821E-3</v>
          </cell>
          <cell r="F33"/>
          <cell r="G33"/>
          <cell r="H33"/>
          <cell r="I33"/>
          <cell r="J33"/>
          <cell r="K33"/>
          <cell r="L33"/>
          <cell r="M33"/>
          <cell r="N33"/>
          <cell r="O33"/>
          <cell r="P33"/>
        </row>
        <row r="34">
          <cell r="D34">
            <v>4.0162037037037033E-3</v>
          </cell>
          <cell r="E34">
            <v>6.1921296296296299E-3</v>
          </cell>
          <cell r="F34"/>
          <cell r="G34"/>
          <cell r="H34"/>
          <cell r="I34"/>
          <cell r="J34"/>
          <cell r="K34"/>
          <cell r="L34"/>
          <cell r="M34"/>
          <cell r="N34"/>
          <cell r="O34"/>
          <cell r="P34"/>
        </row>
        <row r="35">
          <cell r="D35">
            <v>3.9351851851851857E-3</v>
          </cell>
          <cell r="E35">
            <v>4.108796296296297E-3</v>
          </cell>
          <cell r="F35"/>
          <cell r="G35"/>
          <cell r="H35"/>
          <cell r="I35"/>
          <cell r="J35"/>
          <cell r="K35"/>
          <cell r="L35"/>
          <cell r="M35"/>
          <cell r="N35"/>
          <cell r="O35"/>
          <cell r="P35"/>
        </row>
        <row r="36">
          <cell r="D36">
            <v>3.1018518518518522E-3</v>
          </cell>
          <cell r="E36">
            <v>3.6342592592592594E-3</v>
          </cell>
          <cell r="F36"/>
          <cell r="G36"/>
          <cell r="H36"/>
          <cell r="I36"/>
          <cell r="J36"/>
          <cell r="K36"/>
          <cell r="L36"/>
          <cell r="M36"/>
          <cell r="N36"/>
          <cell r="O36"/>
          <cell r="P36"/>
        </row>
        <row r="37">
          <cell r="D37">
            <v>5.2546296296296299E-3</v>
          </cell>
          <cell r="E37">
            <v>5.5324074074074069E-3</v>
          </cell>
          <cell r="F37"/>
          <cell r="G37"/>
          <cell r="H37"/>
          <cell r="I37"/>
          <cell r="J37"/>
          <cell r="K37"/>
          <cell r="L37"/>
          <cell r="M37"/>
          <cell r="N37"/>
          <cell r="O37"/>
          <cell r="P37"/>
        </row>
        <row r="38">
          <cell r="D38">
            <v>9.7337962962962977E-3</v>
          </cell>
          <cell r="E38">
            <v>1.0150462962962964E-2</v>
          </cell>
          <cell r="F38"/>
          <cell r="G38"/>
          <cell r="H38"/>
          <cell r="I38"/>
          <cell r="J38"/>
          <cell r="K38"/>
          <cell r="L38"/>
          <cell r="M38"/>
          <cell r="N38"/>
          <cell r="O38"/>
          <cell r="P38"/>
        </row>
        <row r="39">
          <cell r="D39">
            <v>1.03125E-2</v>
          </cell>
          <cell r="E39">
            <v>1.8587962962962962E-2</v>
          </cell>
          <cell r="F39"/>
          <cell r="G39"/>
          <cell r="H39"/>
          <cell r="I39"/>
          <cell r="J39"/>
          <cell r="K39"/>
          <cell r="L39"/>
          <cell r="M39"/>
          <cell r="N39"/>
          <cell r="O39"/>
          <cell r="P39"/>
        </row>
        <row r="40">
          <cell r="D40">
            <v>1.2175925925925929E-2</v>
          </cell>
          <cell r="E40">
            <v>1.1550925925925925E-2</v>
          </cell>
          <cell r="F40"/>
          <cell r="G40"/>
          <cell r="H40"/>
          <cell r="I40"/>
          <cell r="J40"/>
          <cell r="K40"/>
          <cell r="L40"/>
          <cell r="M40"/>
          <cell r="N40"/>
          <cell r="O40"/>
          <cell r="P40"/>
        </row>
        <row r="41">
          <cell r="D41"/>
          <cell r="E41"/>
          <cell r="F41"/>
          <cell r="G41"/>
          <cell r="H41"/>
          <cell r="I41"/>
          <cell r="J41"/>
          <cell r="K41"/>
          <cell r="L41"/>
          <cell r="M41"/>
          <cell r="N41"/>
          <cell r="O41"/>
          <cell r="P41"/>
        </row>
        <row r="42">
          <cell r="D42">
            <v>7.2800925925925915E-3</v>
          </cell>
          <cell r="E42">
            <v>7.6736111111111111E-3</v>
          </cell>
          <cell r="F42"/>
          <cell r="G42"/>
          <cell r="H42"/>
          <cell r="I42"/>
          <cell r="J42"/>
          <cell r="K42"/>
          <cell r="L42"/>
          <cell r="M42"/>
          <cell r="N42"/>
          <cell r="O42"/>
          <cell r="P42"/>
        </row>
        <row r="43">
          <cell r="D43">
            <v>6.6898148148148142E-3</v>
          </cell>
          <cell r="E43">
            <v>7.3726851851851861E-3</v>
          </cell>
          <cell r="F43"/>
          <cell r="G43"/>
          <cell r="H43"/>
          <cell r="I43"/>
          <cell r="J43"/>
          <cell r="K43"/>
          <cell r="L43"/>
          <cell r="M43"/>
          <cell r="N43"/>
          <cell r="O43"/>
          <cell r="P43"/>
        </row>
        <row r="44">
          <cell r="D44">
            <v>1.1643518518518518E-2</v>
          </cell>
          <cell r="E44">
            <v>1.3692129629629629E-2</v>
          </cell>
          <cell r="F44"/>
          <cell r="G44"/>
          <cell r="H44"/>
          <cell r="I44"/>
          <cell r="J44"/>
          <cell r="K44"/>
          <cell r="L44"/>
          <cell r="M44"/>
          <cell r="N44"/>
          <cell r="O44"/>
          <cell r="P44"/>
        </row>
        <row r="45">
          <cell r="D45">
            <v>6.5972222222222222E-3</v>
          </cell>
          <cell r="E45">
            <v>9.5370370370370366E-3</v>
          </cell>
          <cell r="F45"/>
          <cell r="G45"/>
          <cell r="H45"/>
          <cell r="I45"/>
          <cell r="J45"/>
          <cell r="K45"/>
          <cell r="L45"/>
          <cell r="M45"/>
          <cell r="N45"/>
          <cell r="O45"/>
          <cell r="P45"/>
        </row>
        <row r="46">
          <cell r="D46">
            <v>7.5462962962962966E-3</v>
          </cell>
          <cell r="E46">
            <v>9.2939814814814812E-3</v>
          </cell>
          <cell r="F46"/>
          <cell r="G46"/>
          <cell r="H46"/>
          <cell r="I46"/>
          <cell r="J46"/>
          <cell r="K46"/>
          <cell r="L46"/>
          <cell r="M46"/>
          <cell r="N46"/>
          <cell r="O46"/>
          <cell r="P46"/>
        </row>
        <row r="47">
          <cell r="D47">
            <v>1.5625000000000001E-3</v>
          </cell>
          <cell r="E47">
            <v>1.5277777777777779E-3</v>
          </cell>
          <cell r="F47"/>
          <cell r="G47"/>
          <cell r="H47"/>
          <cell r="I47"/>
          <cell r="J47"/>
          <cell r="K47"/>
          <cell r="L47"/>
          <cell r="M47"/>
          <cell r="N47"/>
          <cell r="O47"/>
          <cell r="P47"/>
        </row>
        <row r="48">
          <cell r="D48">
            <v>2.1875000000000002E-3</v>
          </cell>
          <cell r="E48">
            <v>2.0833333333333333E-3</v>
          </cell>
          <cell r="F48"/>
          <cell r="G48"/>
          <cell r="H48"/>
          <cell r="I48"/>
          <cell r="J48"/>
          <cell r="K48"/>
          <cell r="L48"/>
          <cell r="M48"/>
          <cell r="N48"/>
          <cell r="O48"/>
          <cell r="P48"/>
        </row>
        <row r="49">
          <cell r="D49">
            <v>2.7314814814814819E-3</v>
          </cell>
          <cell r="E49">
            <v>2.9050925925925928E-3</v>
          </cell>
          <cell r="F49"/>
          <cell r="G49"/>
          <cell r="H49"/>
          <cell r="I49"/>
          <cell r="J49"/>
          <cell r="K49"/>
          <cell r="L49"/>
          <cell r="M49"/>
          <cell r="N49"/>
          <cell r="O49"/>
          <cell r="P49"/>
        </row>
        <row r="50">
          <cell r="D50">
            <v>2.2106481481481478E-3</v>
          </cell>
          <cell r="E50">
            <v>2.3842592592592591E-3</v>
          </cell>
          <cell r="F50"/>
          <cell r="G50"/>
          <cell r="H50"/>
          <cell r="I50"/>
          <cell r="J50"/>
          <cell r="K50"/>
          <cell r="L50"/>
          <cell r="M50"/>
          <cell r="N50"/>
          <cell r="O50"/>
          <cell r="P50"/>
        </row>
        <row r="51">
          <cell r="D51">
            <v>2.1180555555555553E-3</v>
          </cell>
          <cell r="E51">
            <v>2.1643518518518518E-3</v>
          </cell>
          <cell r="F51"/>
          <cell r="G51"/>
          <cell r="H51"/>
          <cell r="I51"/>
          <cell r="J51"/>
          <cell r="K51"/>
          <cell r="L51"/>
          <cell r="M51"/>
          <cell r="N51"/>
          <cell r="O51"/>
          <cell r="P51"/>
        </row>
        <row r="52">
          <cell r="D52">
            <v>3.2291666666666666E-3</v>
          </cell>
          <cell r="E52">
            <v>3.1481481481481482E-3</v>
          </cell>
          <cell r="F52"/>
          <cell r="G52"/>
          <cell r="H52"/>
          <cell r="I52"/>
          <cell r="J52"/>
          <cell r="K52"/>
          <cell r="L52"/>
          <cell r="M52"/>
          <cell r="N52"/>
          <cell r="O52"/>
          <cell r="P52"/>
        </row>
        <row r="53">
          <cell r="D53">
            <v>6.9444444444444441E-3</v>
          </cell>
          <cell r="E53">
            <v>6.2037037037037043E-3</v>
          </cell>
          <cell r="F53"/>
          <cell r="G53"/>
          <cell r="H53"/>
          <cell r="I53"/>
          <cell r="J53"/>
          <cell r="K53"/>
          <cell r="L53"/>
          <cell r="M53"/>
          <cell r="N53"/>
          <cell r="O53"/>
          <cell r="P53"/>
        </row>
        <row r="54">
          <cell r="D54">
            <v>7.5115740740740742E-3</v>
          </cell>
          <cell r="E54">
            <v>8.611111111111111E-3</v>
          </cell>
          <cell r="F54"/>
          <cell r="G54"/>
          <cell r="H54"/>
          <cell r="I54"/>
          <cell r="J54"/>
          <cell r="K54"/>
          <cell r="L54"/>
          <cell r="M54"/>
          <cell r="N54"/>
          <cell r="O54"/>
          <cell r="P54"/>
        </row>
        <row r="55">
          <cell r="D55">
            <v>8.8657407407407417E-3</v>
          </cell>
          <cell r="E55">
            <v>8.3449074074074085E-3</v>
          </cell>
          <cell r="F55"/>
          <cell r="G55"/>
          <cell r="H55"/>
          <cell r="I55"/>
          <cell r="J55"/>
          <cell r="K55"/>
          <cell r="L55"/>
          <cell r="M55"/>
          <cell r="N55"/>
          <cell r="O55"/>
          <cell r="P55"/>
        </row>
        <row r="56">
          <cell r="D56"/>
          <cell r="E56"/>
          <cell r="F56"/>
          <cell r="G56"/>
          <cell r="H56"/>
          <cell r="I56"/>
          <cell r="J56"/>
          <cell r="K56"/>
          <cell r="L56"/>
          <cell r="M56"/>
          <cell r="N56"/>
          <cell r="O56"/>
          <cell r="P56"/>
        </row>
        <row r="57">
          <cell r="D57">
            <v>6.9444444444444441E-3</v>
          </cell>
          <cell r="E57">
            <v>6.9328703703703696E-3</v>
          </cell>
          <cell r="F57"/>
          <cell r="G57"/>
          <cell r="H57"/>
          <cell r="I57"/>
          <cell r="J57"/>
          <cell r="K57"/>
          <cell r="L57"/>
          <cell r="M57"/>
          <cell r="N57"/>
          <cell r="O57"/>
          <cell r="P57"/>
        </row>
        <row r="58">
          <cell r="D58">
            <v>6.0069444444444441E-3</v>
          </cell>
          <cell r="E58">
            <v>6.2037037037037043E-3</v>
          </cell>
          <cell r="F58"/>
          <cell r="G58"/>
          <cell r="H58"/>
          <cell r="I58"/>
          <cell r="J58"/>
          <cell r="K58"/>
          <cell r="L58"/>
          <cell r="M58"/>
          <cell r="N58"/>
          <cell r="O58"/>
          <cell r="P58"/>
        </row>
        <row r="59">
          <cell r="D59">
            <v>1.0405092592592593E-2</v>
          </cell>
          <cell r="E59">
            <v>1.0671296296296297E-2</v>
          </cell>
          <cell r="F59"/>
          <cell r="G59"/>
          <cell r="H59"/>
          <cell r="I59"/>
          <cell r="J59"/>
          <cell r="K59"/>
          <cell r="L59"/>
          <cell r="M59"/>
          <cell r="N59"/>
          <cell r="O59"/>
          <cell r="P59"/>
        </row>
        <row r="60">
          <cell r="D60">
            <v>7.7314814814814815E-3</v>
          </cell>
          <cell r="E60">
            <v>7.4305555555555548E-3</v>
          </cell>
          <cell r="F60"/>
          <cell r="G60"/>
          <cell r="H60"/>
          <cell r="I60"/>
          <cell r="J60"/>
          <cell r="K60"/>
          <cell r="L60"/>
          <cell r="M60"/>
          <cell r="N60"/>
          <cell r="O60"/>
          <cell r="P60"/>
        </row>
        <row r="61">
          <cell r="D61">
            <v>7.5347222222222213E-3</v>
          </cell>
          <cell r="E61">
            <v>7.5462962962962966E-3</v>
          </cell>
          <cell r="F61"/>
          <cell r="G61"/>
          <cell r="H61"/>
          <cell r="I61"/>
          <cell r="J61"/>
          <cell r="K61"/>
          <cell r="L61"/>
          <cell r="M61"/>
          <cell r="N61"/>
          <cell r="O61"/>
          <cell r="P61"/>
        </row>
        <row r="62">
          <cell r="D62">
            <v>2.5115740740740741E-3</v>
          </cell>
          <cell r="E62">
            <v>2.7430555555555559E-3</v>
          </cell>
          <cell r="F62"/>
          <cell r="G62"/>
          <cell r="H62"/>
          <cell r="I62"/>
          <cell r="J62"/>
          <cell r="K62"/>
          <cell r="L62"/>
          <cell r="M62"/>
          <cell r="N62"/>
          <cell r="O62"/>
          <cell r="P62"/>
        </row>
        <row r="63">
          <cell r="D63">
            <v>4.5833333333333334E-3</v>
          </cell>
          <cell r="E63">
            <v>6.053240740740741E-3</v>
          </cell>
          <cell r="F63"/>
          <cell r="G63"/>
          <cell r="H63"/>
          <cell r="I63"/>
          <cell r="J63"/>
          <cell r="K63"/>
          <cell r="L63"/>
          <cell r="M63"/>
          <cell r="N63"/>
          <cell r="O63"/>
          <cell r="P63"/>
        </row>
        <row r="64">
          <cell r="D64">
            <v>9.3171296296296283E-3</v>
          </cell>
          <cell r="E64">
            <v>8.2986111111111108E-3</v>
          </cell>
          <cell r="F64"/>
          <cell r="G64"/>
          <cell r="H64"/>
          <cell r="I64"/>
          <cell r="J64"/>
          <cell r="K64"/>
          <cell r="L64"/>
          <cell r="M64"/>
          <cell r="N64"/>
          <cell r="O64"/>
          <cell r="P64"/>
        </row>
        <row r="65">
          <cell r="D65">
            <v>6.2268518518518515E-3</v>
          </cell>
          <cell r="E65">
            <v>7.8819444444444432E-3</v>
          </cell>
          <cell r="F65"/>
          <cell r="G65"/>
          <cell r="H65"/>
          <cell r="I65"/>
          <cell r="J65"/>
          <cell r="K65"/>
          <cell r="L65"/>
          <cell r="M65"/>
          <cell r="N65"/>
          <cell r="O65"/>
          <cell r="P65"/>
        </row>
        <row r="66">
          <cell r="D66">
            <v>5.138888888888889E-3</v>
          </cell>
          <cell r="E66">
            <v>5.9490740740740745E-3</v>
          </cell>
          <cell r="F66"/>
          <cell r="G66"/>
          <cell r="H66"/>
          <cell r="I66"/>
          <cell r="J66"/>
          <cell r="K66"/>
          <cell r="L66"/>
          <cell r="M66"/>
          <cell r="N66"/>
          <cell r="O66"/>
          <cell r="P66"/>
        </row>
        <row r="67">
          <cell r="D67">
            <v>7.0254629629629634E-3</v>
          </cell>
          <cell r="E67">
            <v>6.7245370370370367E-3</v>
          </cell>
          <cell r="F67"/>
          <cell r="G67"/>
          <cell r="H67"/>
          <cell r="I67"/>
          <cell r="J67"/>
          <cell r="K67"/>
          <cell r="L67"/>
          <cell r="M67"/>
          <cell r="N67"/>
          <cell r="O67"/>
          <cell r="P67"/>
        </row>
        <row r="68">
          <cell r="D68">
            <v>1.5821759259259261E-2</v>
          </cell>
          <cell r="E68">
            <v>1.7511574074074072E-2</v>
          </cell>
          <cell r="F68"/>
          <cell r="G68"/>
          <cell r="H68"/>
          <cell r="I68"/>
          <cell r="J68"/>
          <cell r="K68"/>
          <cell r="L68"/>
          <cell r="M68"/>
          <cell r="N68"/>
          <cell r="O68"/>
          <cell r="P68"/>
        </row>
        <row r="69">
          <cell r="D69">
            <v>1.0081018518518519E-2</v>
          </cell>
          <cell r="E69">
            <v>2.1273148148148149E-2</v>
          </cell>
          <cell r="F69"/>
          <cell r="G69"/>
          <cell r="H69"/>
          <cell r="I69"/>
          <cell r="J69"/>
          <cell r="K69"/>
          <cell r="L69"/>
          <cell r="M69"/>
          <cell r="N69"/>
          <cell r="O69"/>
          <cell r="P69"/>
        </row>
        <row r="70">
          <cell r="D70">
            <v>1.6689814814814817E-2</v>
          </cell>
          <cell r="E70">
            <v>1.954861111111111E-2</v>
          </cell>
          <cell r="F70"/>
          <cell r="G70"/>
          <cell r="H70"/>
          <cell r="I70"/>
          <cell r="J70"/>
          <cell r="K70"/>
          <cell r="L70"/>
          <cell r="M70"/>
          <cell r="N70"/>
          <cell r="O70"/>
          <cell r="P70"/>
        </row>
        <row r="71">
          <cell r="D71"/>
          <cell r="E71"/>
          <cell r="F71"/>
          <cell r="G71"/>
          <cell r="H71"/>
          <cell r="I71"/>
          <cell r="J71"/>
          <cell r="K71"/>
          <cell r="L71"/>
          <cell r="M71"/>
          <cell r="N71"/>
          <cell r="O71"/>
          <cell r="P71"/>
        </row>
        <row r="72">
          <cell r="D72">
            <v>6.8171296296296287E-3</v>
          </cell>
          <cell r="E72">
            <v>6.4699074074074069E-3</v>
          </cell>
          <cell r="F72"/>
          <cell r="G72"/>
          <cell r="H72"/>
          <cell r="I72"/>
          <cell r="J72"/>
          <cell r="K72"/>
          <cell r="L72"/>
          <cell r="M72"/>
          <cell r="N72"/>
          <cell r="O72"/>
          <cell r="P72"/>
        </row>
        <row r="73">
          <cell r="D73">
            <v>6.828703703703704E-3</v>
          </cell>
          <cell r="E73">
            <v>6.8865740740740736E-3</v>
          </cell>
          <cell r="F73"/>
          <cell r="G73"/>
          <cell r="H73"/>
          <cell r="I73"/>
          <cell r="J73"/>
          <cell r="K73"/>
          <cell r="L73"/>
          <cell r="M73"/>
          <cell r="N73"/>
          <cell r="O73"/>
          <cell r="P73"/>
        </row>
        <row r="74">
          <cell r="D74">
            <v>9.0972222222222218E-3</v>
          </cell>
          <cell r="E74">
            <v>1.2083333333333333E-2</v>
          </cell>
          <cell r="F74"/>
          <cell r="G74"/>
          <cell r="H74"/>
          <cell r="I74"/>
          <cell r="J74"/>
          <cell r="K74"/>
          <cell r="L74"/>
          <cell r="M74"/>
          <cell r="N74"/>
          <cell r="O74"/>
          <cell r="P74"/>
        </row>
        <row r="75">
          <cell r="D75">
            <v>8.611111111111111E-3</v>
          </cell>
          <cell r="E75">
            <v>8.6226851851851846E-3</v>
          </cell>
          <cell r="F75"/>
          <cell r="G75"/>
          <cell r="H75"/>
          <cell r="I75"/>
          <cell r="J75"/>
          <cell r="K75"/>
          <cell r="L75"/>
          <cell r="M75"/>
          <cell r="N75"/>
          <cell r="O75"/>
          <cell r="P75"/>
        </row>
        <row r="76">
          <cell r="D76">
            <v>7.6620370370370366E-3</v>
          </cell>
          <cell r="E76">
            <v>8.0092592592592594E-3</v>
          </cell>
          <cell r="F76"/>
          <cell r="G76"/>
          <cell r="H76"/>
          <cell r="I76"/>
          <cell r="J76"/>
          <cell r="K76"/>
          <cell r="L76"/>
          <cell r="M76"/>
          <cell r="N76"/>
          <cell r="O76"/>
          <cell r="P76"/>
        </row>
        <row r="77">
          <cell r="D77">
            <v>1.9791666666666668E-3</v>
          </cell>
          <cell r="E77">
            <v>1.9328703703703704E-3</v>
          </cell>
          <cell r="F77"/>
          <cell r="G77"/>
          <cell r="H77"/>
          <cell r="I77"/>
          <cell r="J77"/>
          <cell r="K77"/>
          <cell r="L77"/>
          <cell r="M77"/>
          <cell r="N77"/>
          <cell r="O77"/>
          <cell r="P77"/>
        </row>
        <row r="78">
          <cell r="D78">
            <v>4.4328703703703709E-3</v>
          </cell>
          <cell r="E78">
            <v>4.155092592592593E-3</v>
          </cell>
          <cell r="F78"/>
          <cell r="G78"/>
          <cell r="H78"/>
          <cell r="I78"/>
          <cell r="J78"/>
          <cell r="K78"/>
          <cell r="L78"/>
          <cell r="M78"/>
          <cell r="N78"/>
          <cell r="O78"/>
          <cell r="P78"/>
        </row>
        <row r="79">
          <cell r="D79">
            <v>8.0324074074074065E-3</v>
          </cell>
          <cell r="E79">
            <v>8.5879629629629622E-3</v>
          </cell>
          <cell r="F79"/>
          <cell r="G79"/>
          <cell r="H79"/>
          <cell r="I79"/>
          <cell r="J79"/>
          <cell r="K79"/>
          <cell r="L79"/>
          <cell r="M79"/>
          <cell r="N79"/>
          <cell r="O79"/>
          <cell r="P79"/>
        </row>
        <row r="80">
          <cell r="D80">
            <v>4.9421296296296288E-3</v>
          </cell>
          <cell r="E80">
            <v>4.9189814814814816E-3</v>
          </cell>
          <cell r="F80"/>
          <cell r="G80"/>
          <cell r="H80"/>
          <cell r="I80"/>
          <cell r="J80"/>
          <cell r="K80"/>
          <cell r="L80"/>
          <cell r="M80"/>
          <cell r="N80"/>
          <cell r="O80"/>
          <cell r="P80"/>
        </row>
        <row r="81">
          <cell r="D81">
            <v>4.4212962962962956E-3</v>
          </cell>
          <cell r="E81">
            <v>4.4907407407407405E-3</v>
          </cell>
          <cell r="F81"/>
          <cell r="G81"/>
          <cell r="H81"/>
          <cell r="I81"/>
          <cell r="J81"/>
          <cell r="K81"/>
          <cell r="L81"/>
          <cell r="M81"/>
          <cell r="N81"/>
          <cell r="O81"/>
          <cell r="P81"/>
        </row>
        <row r="82">
          <cell r="D82">
            <v>9.4444444444444445E-3</v>
          </cell>
          <cell r="E82">
            <v>6.7245370370370367E-3</v>
          </cell>
          <cell r="F82"/>
          <cell r="G82"/>
          <cell r="H82"/>
          <cell r="I82"/>
          <cell r="J82"/>
          <cell r="K82"/>
          <cell r="L82"/>
          <cell r="M82"/>
          <cell r="N82"/>
          <cell r="O82"/>
          <cell r="P82"/>
        </row>
        <row r="83">
          <cell r="D83">
            <v>2.4409722222222222E-2</v>
          </cell>
          <cell r="E83">
            <v>2.0601851851851854E-2</v>
          </cell>
          <cell r="F83"/>
          <cell r="G83"/>
          <cell r="H83"/>
          <cell r="I83"/>
          <cell r="J83"/>
          <cell r="K83"/>
          <cell r="L83"/>
          <cell r="M83"/>
          <cell r="N83"/>
          <cell r="O83"/>
          <cell r="P83"/>
        </row>
        <row r="84">
          <cell r="D84">
            <v>6.3020833333333331E-2</v>
          </cell>
          <cell r="E84">
            <v>6.3969907407407406E-2</v>
          </cell>
          <cell r="F84"/>
          <cell r="G84"/>
          <cell r="H84"/>
          <cell r="I84"/>
          <cell r="J84"/>
          <cell r="K84"/>
          <cell r="L84"/>
          <cell r="M84"/>
          <cell r="N84"/>
          <cell r="O84"/>
          <cell r="P84"/>
        </row>
        <row r="85">
          <cell r="D85">
            <v>2.2222222222222223E-2</v>
          </cell>
          <cell r="E85">
            <v>1.9918981481481482E-2</v>
          </cell>
          <cell r="F85"/>
          <cell r="G85"/>
          <cell r="H85"/>
          <cell r="I85"/>
          <cell r="J85"/>
          <cell r="K85"/>
          <cell r="L85"/>
          <cell r="M85"/>
          <cell r="N85"/>
          <cell r="O85"/>
          <cell r="P85"/>
        </row>
        <row r="86">
          <cell r="D86"/>
          <cell r="E86"/>
          <cell r="F86"/>
          <cell r="G86"/>
          <cell r="H86"/>
          <cell r="I86"/>
          <cell r="J86"/>
          <cell r="K86"/>
          <cell r="L86"/>
          <cell r="M86"/>
          <cell r="N86"/>
          <cell r="O86"/>
          <cell r="P86"/>
        </row>
        <row r="87">
          <cell r="D87">
            <v>7.1990740740740739E-3</v>
          </cell>
          <cell r="E87">
            <v>6.9907407407407409E-3</v>
          </cell>
          <cell r="F87"/>
          <cell r="G87"/>
          <cell r="H87"/>
          <cell r="I87"/>
          <cell r="J87"/>
          <cell r="K87"/>
          <cell r="L87"/>
          <cell r="M87"/>
          <cell r="N87"/>
          <cell r="O87"/>
          <cell r="P87"/>
        </row>
        <row r="88">
          <cell r="D88">
            <v>6.7592592592592591E-3</v>
          </cell>
          <cell r="E88">
            <v>6.7476851851851856E-3</v>
          </cell>
          <cell r="F88"/>
          <cell r="G88"/>
          <cell r="H88"/>
          <cell r="I88"/>
          <cell r="J88"/>
          <cell r="K88"/>
          <cell r="L88"/>
          <cell r="M88"/>
          <cell r="N88"/>
          <cell r="O88"/>
          <cell r="P88"/>
        </row>
        <row r="89">
          <cell r="D89">
            <v>1.1273148148148148E-2</v>
          </cell>
          <cell r="E89">
            <v>1.2106481481481482E-2</v>
          </cell>
          <cell r="F89"/>
          <cell r="G89"/>
          <cell r="H89"/>
          <cell r="I89"/>
          <cell r="J89"/>
          <cell r="K89"/>
          <cell r="L89"/>
          <cell r="M89"/>
          <cell r="N89"/>
          <cell r="O89"/>
          <cell r="P89"/>
        </row>
        <row r="90">
          <cell r="D90">
            <v>7.9282407407407409E-3</v>
          </cell>
          <cell r="E90">
            <v>8.4259259259259253E-3</v>
          </cell>
          <cell r="F90"/>
          <cell r="G90"/>
          <cell r="H90"/>
          <cell r="I90"/>
          <cell r="J90"/>
          <cell r="K90"/>
          <cell r="L90"/>
          <cell r="M90"/>
          <cell r="N90"/>
          <cell r="O90"/>
          <cell r="P90"/>
        </row>
        <row r="91">
          <cell r="D91">
            <v>7.8935185185185185E-3</v>
          </cell>
          <cell r="E91">
            <v>8.1712962962962963E-3</v>
          </cell>
          <cell r="F91"/>
          <cell r="G91"/>
          <cell r="H91"/>
          <cell r="I91"/>
          <cell r="J91"/>
          <cell r="K91"/>
          <cell r="L91"/>
          <cell r="M91"/>
          <cell r="N91"/>
          <cell r="O91"/>
          <cell r="P91"/>
        </row>
        <row r="94">
          <cell r="D94"/>
          <cell r="E94"/>
          <cell r="F94"/>
          <cell r="G94"/>
          <cell r="H94"/>
          <cell r="I94"/>
          <cell r="J94"/>
          <cell r="K94"/>
          <cell r="L94"/>
          <cell r="M94"/>
          <cell r="N94"/>
          <cell r="O94"/>
          <cell r="P94"/>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cell r="G3"/>
          <cell r="H3"/>
          <cell r="I3"/>
          <cell r="J3"/>
          <cell r="K3"/>
          <cell r="L3"/>
          <cell r="M3"/>
          <cell r="N3"/>
          <cell r="O3"/>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cell r="G5"/>
          <cell r="H5"/>
          <cell r="I5"/>
          <cell r="J5"/>
          <cell r="K5"/>
          <cell r="L5"/>
          <cell r="M5"/>
          <cell r="N5"/>
          <cell r="O5"/>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cell r="G7"/>
          <cell r="H7"/>
          <cell r="I7"/>
          <cell r="J7"/>
          <cell r="K7"/>
          <cell r="L7"/>
          <cell r="M7"/>
          <cell r="N7"/>
          <cell r="O7"/>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cell r="G9"/>
          <cell r="H9"/>
          <cell r="I9"/>
          <cell r="J9"/>
          <cell r="K9"/>
          <cell r="L9"/>
          <cell r="M9"/>
          <cell r="N9"/>
          <cell r="O9"/>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cell r="G11"/>
          <cell r="H11"/>
          <cell r="I11"/>
          <cell r="J11"/>
          <cell r="K11"/>
          <cell r="L11"/>
          <cell r="M11"/>
          <cell r="N11"/>
          <cell r="O11"/>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cell r="G13"/>
          <cell r="H13"/>
          <cell r="I13"/>
          <cell r="J13"/>
          <cell r="K13"/>
          <cell r="L13"/>
          <cell r="M13"/>
          <cell r="N13"/>
          <cell r="O13"/>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cell r="G15"/>
          <cell r="H15"/>
          <cell r="I15"/>
          <cell r="J15"/>
          <cell r="K15"/>
          <cell r="L15"/>
          <cell r="M15"/>
          <cell r="N15"/>
          <cell r="O15"/>
          <cell r="P15">
            <v>2.4550000000000001</v>
          </cell>
        </row>
        <row r="18">
          <cell r="D18" t="str">
            <v>0</v>
          </cell>
          <cell r="E18" t="str">
            <v>0</v>
          </cell>
          <cell r="F18">
            <v>0</v>
          </cell>
          <cell r="G18">
            <v>0</v>
          </cell>
          <cell r="H18">
            <v>0</v>
          </cell>
          <cell r="I18">
            <v>0</v>
          </cell>
          <cell r="J18">
            <v>0</v>
          </cell>
          <cell r="K18">
            <v>0</v>
          </cell>
          <cell r="L18">
            <v>0</v>
          </cell>
          <cell r="M18">
            <v>0</v>
          </cell>
          <cell r="N18">
            <v>0</v>
          </cell>
          <cell r="O18">
            <v>0</v>
          </cell>
          <cell r="P18" t="e">
            <v>#DIV/0!</v>
          </cell>
        </row>
        <row r="19">
          <cell r="D19" t="str">
            <v>0</v>
          </cell>
          <cell r="E19" t="str">
            <v>0</v>
          </cell>
          <cell r="F19">
            <v>0</v>
          </cell>
          <cell r="G19">
            <v>0</v>
          </cell>
          <cell r="H19">
            <v>0</v>
          </cell>
          <cell r="I19">
            <v>0</v>
          </cell>
          <cell r="J19">
            <v>0</v>
          </cell>
          <cell r="K19">
            <v>0</v>
          </cell>
          <cell r="L19">
            <v>0</v>
          </cell>
          <cell r="M19">
            <v>0</v>
          </cell>
          <cell r="N19">
            <v>0</v>
          </cell>
          <cell r="O19">
            <v>0</v>
          </cell>
          <cell r="P19" t="e">
            <v>#DIV/0!</v>
          </cell>
        </row>
        <row r="20">
          <cell r="D20" t="str">
            <v>0</v>
          </cell>
          <cell r="E20" t="str">
            <v>0</v>
          </cell>
          <cell r="F20">
            <v>0</v>
          </cell>
          <cell r="G20">
            <v>0</v>
          </cell>
          <cell r="H20">
            <v>0</v>
          </cell>
          <cell r="I20">
            <v>0</v>
          </cell>
          <cell r="J20">
            <v>0</v>
          </cell>
          <cell r="K20">
            <v>0</v>
          </cell>
          <cell r="L20">
            <v>0</v>
          </cell>
          <cell r="M20">
            <v>0</v>
          </cell>
          <cell r="N20">
            <v>0</v>
          </cell>
          <cell r="O20">
            <v>0</v>
          </cell>
          <cell r="P20" t="e">
            <v>#DIV/0!</v>
          </cell>
        </row>
        <row r="21">
          <cell r="D21" t="str">
            <v>0</v>
          </cell>
          <cell r="E21" t="str">
            <v>0</v>
          </cell>
          <cell r="F21">
            <v>0</v>
          </cell>
          <cell r="G21">
            <v>0</v>
          </cell>
          <cell r="H21">
            <v>0</v>
          </cell>
          <cell r="I21">
            <v>0</v>
          </cell>
          <cell r="J21">
            <v>0</v>
          </cell>
          <cell r="K21">
            <v>0</v>
          </cell>
          <cell r="L21">
            <v>0</v>
          </cell>
          <cell r="M21">
            <v>0</v>
          </cell>
          <cell r="N21">
            <v>0</v>
          </cell>
          <cell r="O21">
            <v>0</v>
          </cell>
          <cell r="P21" t="e">
            <v>#DIV/0!</v>
          </cell>
        </row>
        <row r="22">
          <cell r="D22" t="str">
            <v>0</v>
          </cell>
          <cell r="E22" t="str">
            <v>0</v>
          </cell>
          <cell r="F22">
            <v>0</v>
          </cell>
          <cell r="G22">
            <v>0</v>
          </cell>
          <cell r="H22">
            <v>0</v>
          </cell>
          <cell r="I22">
            <v>0</v>
          </cell>
          <cell r="J22">
            <v>0</v>
          </cell>
          <cell r="K22">
            <v>0</v>
          </cell>
          <cell r="L22">
            <v>0</v>
          </cell>
          <cell r="M22">
            <v>0</v>
          </cell>
          <cell r="N22">
            <v>0</v>
          </cell>
          <cell r="O22">
            <v>0</v>
          </cell>
          <cell r="P22" t="e">
            <v>#DIV/0!</v>
          </cell>
        </row>
        <row r="23">
          <cell r="D23" t="str">
            <v>0</v>
          </cell>
          <cell r="E23" t="str">
            <v>0</v>
          </cell>
          <cell r="F23">
            <v>0</v>
          </cell>
          <cell r="G23">
            <v>0</v>
          </cell>
          <cell r="H23">
            <v>0</v>
          </cell>
          <cell r="I23">
            <v>0</v>
          </cell>
          <cell r="J23">
            <v>0</v>
          </cell>
          <cell r="K23">
            <v>0</v>
          </cell>
          <cell r="L23">
            <v>0</v>
          </cell>
          <cell r="M23">
            <v>0</v>
          </cell>
          <cell r="N23">
            <v>0</v>
          </cell>
          <cell r="O23">
            <v>0</v>
          </cell>
          <cell r="P23" t="e">
            <v>#DIV/0!</v>
          </cell>
        </row>
        <row r="24">
          <cell r="D24" t="str">
            <v>0</v>
          </cell>
          <cell r="E24" t="str">
            <v>0</v>
          </cell>
          <cell r="F24">
            <v>0</v>
          </cell>
          <cell r="G24">
            <v>0</v>
          </cell>
          <cell r="H24">
            <v>0</v>
          </cell>
          <cell r="I24">
            <v>0</v>
          </cell>
          <cell r="J24">
            <v>0</v>
          </cell>
          <cell r="K24">
            <v>0</v>
          </cell>
          <cell r="L24">
            <v>0</v>
          </cell>
          <cell r="M24">
            <v>0</v>
          </cell>
          <cell r="N24">
            <v>0</v>
          </cell>
          <cell r="O24">
            <v>0</v>
          </cell>
          <cell r="P24" t="e">
            <v>#DIV/0!</v>
          </cell>
        </row>
        <row r="25">
          <cell r="D25" t="str">
            <v>0</v>
          </cell>
          <cell r="E25" t="str">
            <v>0</v>
          </cell>
          <cell r="F25">
            <v>0</v>
          </cell>
          <cell r="G25">
            <v>0</v>
          </cell>
          <cell r="H25">
            <v>0</v>
          </cell>
          <cell r="I25">
            <v>0</v>
          </cell>
          <cell r="J25">
            <v>0</v>
          </cell>
          <cell r="K25">
            <v>0</v>
          </cell>
          <cell r="L25">
            <v>0</v>
          </cell>
          <cell r="M25">
            <v>0</v>
          </cell>
          <cell r="N25">
            <v>0</v>
          </cell>
          <cell r="O25">
            <v>0</v>
          </cell>
          <cell r="P25" t="e">
            <v>#DIV/0!</v>
          </cell>
        </row>
        <row r="26">
          <cell r="D26" t="str">
            <v>0</v>
          </cell>
          <cell r="E26" t="str">
            <v>0</v>
          </cell>
          <cell r="F26">
            <v>0</v>
          </cell>
          <cell r="G26">
            <v>0</v>
          </cell>
          <cell r="H26">
            <v>0</v>
          </cell>
          <cell r="I26">
            <v>0</v>
          </cell>
          <cell r="J26">
            <v>0</v>
          </cell>
          <cell r="K26">
            <v>0</v>
          </cell>
          <cell r="L26">
            <v>0</v>
          </cell>
          <cell r="M26">
            <v>0</v>
          </cell>
          <cell r="N26">
            <v>0</v>
          </cell>
          <cell r="O26">
            <v>0</v>
          </cell>
          <cell r="P26" t="e">
            <v>#DIV/0!</v>
          </cell>
        </row>
        <row r="27">
          <cell r="D27" t="str">
            <v>0</v>
          </cell>
          <cell r="E27" t="str">
            <v>0</v>
          </cell>
          <cell r="F27">
            <v>0</v>
          </cell>
          <cell r="G27">
            <v>0</v>
          </cell>
          <cell r="H27">
            <v>0</v>
          </cell>
          <cell r="I27">
            <v>0</v>
          </cell>
          <cell r="J27">
            <v>0</v>
          </cell>
          <cell r="K27">
            <v>0</v>
          </cell>
          <cell r="L27">
            <v>0</v>
          </cell>
          <cell r="M27">
            <v>0</v>
          </cell>
          <cell r="N27">
            <v>0</v>
          </cell>
          <cell r="O27">
            <v>0</v>
          </cell>
          <cell r="P27" t="e">
            <v>#DIV/0!</v>
          </cell>
        </row>
        <row r="28">
          <cell r="D28" t="str">
            <v>0</v>
          </cell>
          <cell r="E28" t="str">
            <v>0</v>
          </cell>
          <cell r="F28">
            <v>0</v>
          </cell>
          <cell r="G28">
            <v>0</v>
          </cell>
          <cell r="H28">
            <v>0</v>
          </cell>
          <cell r="I28">
            <v>0</v>
          </cell>
          <cell r="J28">
            <v>0</v>
          </cell>
          <cell r="K28">
            <v>0</v>
          </cell>
          <cell r="L28">
            <v>0</v>
          </cell>
          <cell r="M28">
            <v>0</v>
          </cell>
          <cell r="N28">
            <v>0</v>
          </cell>
          <cell r="O28">
            <v>0</v>
          </cell>
          <cell r="P28" t="e">
            <v>#DIV/0!</v>
          </cell>
        </row>
        <row r="29">
          <cell r="D29" t="str">
            <v>0</v>
          </cell>
          <cell r="E29" t="str">
            <v>0</v>
          </cell>
          <cell r="F29">
            <v>0</v>
          </cell>
          <cell r="G29">
            <v>0</v>
          </cell>
          <cell r="H29">
            <v>0</v>
          </cell>
          <cell r="I29">
            <v>0</v>
          </cell>
          <cell r="J29">
            <v>0</v>
          </cell>
          <cell r="K29">
            <v>0</v>
          </cell>
          <cell r="L29">
            <v>0</v>
          </cell>
          <cell r="M29">
            <v>0</v>
          </cell>
          <cell r="N29">
            <v>0</v>
          </cell>
          <cell r="O29">
            <v>0</v>
          </cell>
          <cell r="P29" t="e">
            <v>#DIV/0!</v>
          </cell>
        </row>
        <row r="30">
          <cell r="D30" t="str">
            <v>0</v>
          </cell>
          <cell r="E30" t="str">
            <v>0</v>
          </cell>
          <cell r="F30">
            <v>0</v>
          </cell>
          <cell r="G30">
            <v>0</v>
          </cell>
          <cell r="H30">
            <v>0</v>
          </cell>
          <cell r="I30">
            <v>0</v>
          </cell>
          <cell r="J30">
            <v>0</v>
          </cell>
          <cell r="K30">
            <v>0</v>
          </cell>
          <cell r="L30">
            <v>0</v>
          </cell>
          <cell r="M30">
            <v>0</v>
          </cell>
          <cell r="N30">
            <v>0</v>
          </cell>
          <cell r="O30">
            <v>0</v>
          </cell>
          <cell r="P30" t="e">
            <v>#DIV/0!</v>
          </cell>
        </row>
        <row r="31">
          <cell r="D31" t="str">
            <v>0</v>
          </cell>
          <cell r="E31" t="str">
            <v>0</v>
          </cell>
          <cell r="F31">
            <v>0</v>
          </cell>
          <cell r="G31">
            <v>0</v>
          </cell>
          <cell r="H31">
            <v>0</v>
          </cell>
          <cell r="I31">
            <v>0</v>
          </cell>
          <cell r="J31">
            <v>0</v>
          </cell>
          <cell r="K31">
            <v>0</v>
          </cell>
          <cell r="L31">
            <v>0</v>
          </cell>
          <cell r="M31">
            <v>0</v>
          </cell>
          <cell r="N31">
            <v>0</v>
          </cell>
          <cell r="O31">
            <v>0</v>
          </cell>
          <cell r="P31" t="e">
            <v>#DIV/0!</v>
          </cell>
        </row>
        <row r="34">
          <cell r="D34"/>
          <cell r="E34"/>
          <cell r="F34"/>
          <cell r="G34"/>
          <cell r="H34"/>
          <cell r="I34"/>
          <cell r="J34"/>
          <cell r="K34"/>
          <cell r="L34"/>
          <cell r="M34"/>
          <cell r="N34"/>
          <cell r="O34"/>
          <cell r="P34">
            <v>10</v>
          </cell>
        </row>
        <row r="35">
          <cell r="D35" t="str">
            <v>0</v>
          </cell>
          <cell r="E35" t="str">
            <v>0</v>
          </cell>
          <cell r="F35"/>
          <cell r="G35"/>
          <cell r="H35"/>
          <cell r="I35"/>
          <cell r="J35"/>
          <cell r="K35"/>
          <cell r="L35"/>
          <cell r="M35"/>
          <cell r="N35"/>
          <cell r="O35"/>
          <cell r="P35">
            <v>0</v>
          </cell>
        </row>
        <row r="36">
          <cell r="D36"/>
          <cell r="E36"/>
          <cell r="F36"/>
          <cell r="G36"/>
          <cell r="H36"/>
          <cell r="I36"/>
          <cell r="J36"/>
          <cell r="K36"/>
          <cell r="L36"/>
          <cell r="M36"/>
          <cell r="N36"/>
          <cell r="O36"/>
          <cell r="P36">
            <v>25</v>
          </cell>
        </row>
        <row r="37">
          <cell r="D37">
            <v>3</v>
          </cell>
          <cell r="E37" t="str">
            <v>0</v>
          </cell>
          <cell r="F37"/>
          <cell r="G37"/>
          <cell r="H37"/>
          <cell r="I37"/>
          <cell r="J37"/>
          <cell r="K37"/>
          <cell r="L37"/>
          <cell r="M37"/>
          <cell r="N37"/>
          <cell r="O37"/>
          <cell r="P37">
            <v>3</v>
          </cell>
        </row>
        <row r="38">
          <cell r="D38"/>
          <cell r="E38"/>
          <cell r="F38"/>
          <cell r="G38"/>
          <cell r="H38"/>
          <cell r="I38"/>
          <cell r="J38"/>
          <cell r="K38"/>
          <cell r="L38"/>
          <cell r="M38"/>
          <cell r="N38"/>
          <cell r="O38"/>
          <cell r="P38">
            <v>11</v>
          </cell>
        </row>
        <row r="39">
          <cell r="D39">
            <v>3</v>
          </cell>
          <cell r="E39" t="str">
            <v>0</v>
          </cell>
          <cell r="F39"/>
          <cell r="G39"/>
          <cell r="H39"/>
          <cell r="I39"/>
          <cell r="J39"/>
          <cell r="K39"/>
          <cell r="L39"/>
          <cell r="M39"/>
          <cell r="N39"/>
          <cell r="O39"/>
          <cell r="P39">
            <v>3</v>
          </cell>
        </row>
        <row r="40">
          <cell r="D40"/>
          <cell r="E40"/>
          <cell r="F40"/>
          <cell r="G40"/>
          <cell r="H40"/>
          <cell r="I40"/>
          <cell r="J40"/>
          <cell r="K40"/>
          <cell r="L40"/>
          <cell r="M40"/>
          <cell r="N40"/>
          <cell r="O40"/>
          <cell r="P40">
            <v>30</v>
          </cell>
        </row>
        <row r="41">
          <cell r="D41">
            <v>1</v>
          </cell>
          <cell r="E41">
            <v>2</v>
          </cell>
          <cell r="F41"/>
          <cell r="G41"/>
          <cell r="H41"/>
          <cell r="I41"/>
          <cell r="J41"/>
          <cell r="K41"/>
          <cell r="L41"/>
          <cell r="M41"/>
          <cell r="N41"/>
          <cell r="O41"/>
          <cell r="P41">
            <v>3</v>
          </cell>
        </row>
        <row r="42">
          <cell r="D42"/>
          <cell r="E42"/>
          <cell r="F42"/>
          <cell r="G42"/>
          <cell r="H42"/>
          <cell r="I42"/>
          <cell r="J42"/>
          <cell r="K42"/>
          <cell r="L42"/>
          <cell r="M42"/>
          <cell r="N42"/>
          <cell r="O42"/>
          <cell r="P42">
            <v>11</v>
          </cell>
        </row>
        <row r="43">
          <cell r="D43">
            <v>2</v>
          </cell>
          <cell r="E43">
            <v>1</v>
          </cell>
          <cell r="F43"/>
          <cell r="G43"/>
          <cell r="H43"/>
          <cell r="I43"/>
          <cell r="J43"/>
          <cell r="K43"/>
          <cell r="L43"/>
          <cell r="M43"/>
          <cell r="N43"/>
          <cell r="O43"/>
          <cell r="P43">
            <v>3</v>
          </cell>
        </row>
        <row r="44">
          <cell r="D44"/>
          <cell r="E44"/>
          <cell r="F44"/>
          <cell r="G44"/>
          <cell r="H44"/>
          <cell r="I44"/>
          <cell r="J44"/>
          <cell r="K44"/>
          <cell r="L44"/>
          <cell r="M44"/>
          <cell r="N44"/>
          <cell r="O44"/>
          <cell r="P44">
            <v>0</v>
          </cell>
        </row>
        <row r="45">
          <cell r="D45" t="str">
            <v>0</v>
          </cell>
          <cell r="E45" t="str">
            <v>0</v>
          </cell>
          <cell r="F45"/>
          <cell r="G45"/>
          <cell r="H45"/>
          <cell r="I45"/>
          <cell r="J45"/>
          <cell r="K45"/>
          <cell r="L45"/>
          <cell r="M45"/>
          <cell r="N45"/>
          <cell r="O45"/>
          <cell r="P45">
            <v>0</v>
          </cell>
        </row>
        <row r="46">
          <cell r="D46"/>
          <cell r="E46"/>
          <cell r="F46"/>
          <cell r="G46"/>
          <cell r="H46"/>
          <cell r="I46"/>
          <cell r="J46"/>
          <cell r="K46"/>
          <cell r="L46"/>
          <cell r="M46"/>
          <cell r="N46"/>
          <cell r="O46"/>
          <cell r="P46">
            <v>0</v>
          </cell>
        </row>
        <row r="47">
          <cell r="D47" t="str">
            <v>0</v>
          </cell>
          <cell r="E47" t="str">
            <v>0</v>
          </cell>
          <cell r="F47"/>
          <cell r="G47"/>
          <cell r="H47"/>
          <cell r="I47"/>
          <cell r="J47"/>
          <cell r="K47"/>
          <cell r="L47"/>
          <cell r="M47"/>
          <cell r="N47"/>
          <cell r="O47"/>
          <cell r="P47">
            <v>0</v>
          </cell>
        </row>
        <row r="48">
          <cell r="D48"/>
          <cell r="E48"/>
          <cell r="F48"/>
          <cell r="G48"/>
          <cell r="H48"/>
          <cell r="I48"/>
          <cell r="J48"/>
          <cell r="K48"/>
          <cell r="L48"/>
          <cell r="M48"/>
          <cell r="N48"/>
          <cell r="O48"/>
          <cell r="P48">
            <v>5</v>
          </cell>
        </row>
        <row r="49">
          <cell r="D49" t="str">
            <v>0</v>
          </cell>
          <cell r="E49" t="str">
            <v>0</v>
          </cell>
          <cell r="F49"/>
          <cell r="G49"/>
          <cell r="H49"/>
          <cell r="I49"/>
          <cell r="J49"/>
          <cell r="K49"/>
          <cell r="L49"/>
          <cell r="M49"/>
          <cell r="N49"/>
          <cell r="O49"/>
          <cell r="P49">
            <v>0</v>
          </cell>
        </row>
        <row r="50">
          <cell r="D50"/>
          <cell r="E50"/>
          <cell r="F50"/>
          <cell r="G50"/>
          <cell r="H50"/>
          <cell r="I50"/>
          <cell r="J50"/>
          <cell r="K50"/>
          <cell r="L50"/>
          <cell r="M50"/>
          <cell r="N50"/>
          <cell r="O50"/>
          <cell r="P50">
            <v>92</v>
          </cell>
        </row>
        <row r="51">
          <cell r="D51">
            <v>9</v>
          </cell>
          <cell r="E51">
            <v>3</v>
          </cell>
          <cell r="F51"/>
          <cell r="G51"/>
          <cell r="H51"/>
          <cell r="I51"/>
          <cell r="J51"/>
          <cell r="K51"/>
          <cell r="L51"/>
          <cell r="M51"/>
          <cell r="N51"/>
          <cell r="O51"/>
          <cell r="P51">
            <v>12</v>
          </cell>
        </row>
        <row r="54">
          <cell r="D54"/>
          <cell r="E54"/>
          <cell r="F54"/>
          <cell r="G54"/>
          <cell r="H54"/>
          <cell r="I54"/>
          <cell r="J54"/>
          <cell r="K54"/>
          <cell r="L54"/>
          <cell r="M54"/>
          <cell r="N54"/>
          <cell r="O54"/>
          <cell r="P54">
            <v>2</v>
          </cell>
        </row>
        <row r="55">
          <cell r="D55">
            <v>0</v>
          </cell>
          <cell r="E55">
            <v>0</v>
          </cell>
          <cell r="F55">
            <v>0</v>
          </cell>
          <cell r="G55"/>
          <cell r="H55"/>
          <cell r="I55"/>
          <cell r="J55"/>
          <cell r="K55"/>
          <cell r="L55"/>
          <cell r="M55"/>
          <cell r="N55"/>
          <cell r="O55"/>
          <cell r="P55">
            <v>0</v>
          </cell>
        </row>
        <row r="56">
          <cell r="D56"/>
          <cell r="E56"/>
          <cell r="F56"/>
          <cell r="G56"/>
          <cell r="H56"/>
          <cell r="I56"/>
          <cell r="J56"/>
          <cell r="K56"/>
          <cell r="L56"/>
          <cell r="M56"/>
          <cell r="N56"/>
          <cell r="O56"/>
          <cell r="P56">
            <v>136</v>
          </cell>
        </row>
        <row r="57">
          <cell r="D57">
            <v>6</v>
          </cell>
          <cell r="E57">
            <v>5</v>
          </cell>
          <cell r="F57">
            <v>3</v>
          </cell>
          <cell r="G57"/>
          <cell r="H57"/>
          <cell r="I57"/>
          <cell r="J57"/>
          <cell r="K57"/>
          <cell r="L57"/>
          <cell r="M57"/>
          <cell r="N57"/>
          <cell r="O57"/>
          <cell r="P57">
            <v>14</v>
          </cell>
        </row>
        <row r="58">
          <cell r="D58"/>
          <cell r="E58"/>
          <cell r="F58"/>
          <cell r="G58"/>
          <cell r="H58"/>
          <cell r="I58"/>
          <cell r="J58"/>
          <cell r="K58"/>
          <cell r="L58"/>
          <cell r="M58"/>
          <cell r="N58"/>
          <cell r="O58"/>
          <cell r="P58">
            <v>101</v>
          </cell>
        </row>
        <row r="59">
          <cell r="D59">
            <v>2</v>
          </cell>
          <cell r="E59">
            <v>0</v>
          </cell>
          <cell r="F59">
            <v>1</v>
          </cell>
          <cell r="G59"/>
          <cell r="H59"/>
          <cell r="I59"/>
          <cell r="J59"/>
          <cell r="K59"/>
          <cell r="L59"/>
          <cell r="M59"/>
          <cell r="N59"/>
          <cell r="O59"/>
          <cell r="P59">
            <v>3</v>
          </cell>
        </row>
        <row r="60">
          <cell r="D60"/>
          <cell r="E60"/>
          <cell r="F60"/>
          <cell r="G60"/>
          <cell r="H60"/>
          <cell r="I60"/>
          <cell r="J60"/>
          <cell r="K60"/>
          <cell r="L60"/>
          <cell r="M60"/>
          <cell r="N60"/>
          <cell r="O60"/>
          <cell r="P60">
            <v>19</v>
          </cell>
        </row>
        <row r="61">
          <cell r="D61">
            <v>0</v>
          </cell>
          <cell r="E61">
            <v>2</v>
          </cell>
          <cell r="F61">
            <v>5</v>
          </cell>
          <cell r="G61"/>
          <cell r="H61"/>
          <cell r="I61"/>
          <cell r="J61"/>
          <cell r="K61"/>
          <cell r="L61"/>
          <cell r="M61"/>
          <cell r="N61"/>
          <cell r="O61"/>
          <cell r="P61">
            <v>7</v>
          </cell>
        </row>
        <row r="62">
          <cell r="D62"/>
          <cell r="E62"/>
          <cell r="F62"/>
          <cell r="G62"/>
          <cell r="H62"/>
          <cell r="I62"/>
          <cell r="J62"/>
          <cell r="K62"/>
          <cell r="L62"/>
          <cell r="M62"/>
          <cell r="N62"/>
          <cell r="O62"/>
          <cell r="P62">
            <v>83</v>
          </cell>
        </row>
        <row r="63">
          <cell r="D63">
            <v>3</v>
          </cell>
          <cell r="E63">
            <v>1</v>
          </cell>
          <cell r="F63">
            <v>2</v>
          </cell>
          <cell r="G63"/>
          <cell r="H63"/>
          <cell r="I63"/>
          <cell r="J63"/>
          <cell r="K63"/>
          <cell r="L63"/>
          <cell r="M63"/>
          <cell r="N63"/>
          <cell r="O63"/>
          <cell r="P63">
            <v>6</v>
          </cell>
        </row>
        <row r="64">
          <cell r="D64"/>
          <cell r="E64"/>
          <cell r="F64"/>
          <cell r="G64"/>
          <cell r="H64"/>
          <cell r="I64"/>
          <cell r="J64"/>
          <cell r="K64"/>
          <cell r="L64"/>
          <cell r="M64"/>
          <cell r="N64"/>
          <cell r="O64"/>
          <cell r="P64">
            <v>341</v>
          </cell>
        </row>
        <row r="65">
          <cell r="D65">
            <v>11</v>
          </cell>
          <cell r="E65">
            <v>8</v>
          </cell>
          <cell r="F65">
            <v>11</v>
          </cell>
          <cell r="G65"/>
          <cell r="H65"/>
          <cell r="I65"/>
          <cell r="J65"/>
          <cell r="K65"/>
          <cell r="L65"/>
          <cell r="M65"/>
          <cell r="N65"/>
          <cell r="O65"/>
          <cell r="P65">
            <v>30</v>
          </cell>
        </row>
        <row r="68">
          <cell r="D68">
            <v>0</v>
          </cell>
          <cell r="E68"/>
          <cell r="F68"/>
          <cell r="G68"/>
          <cell r="H68"/>
          <cell r="I68"/>
          <cell r="J68"/>
          <cell r="K68"/>
          <cell r="L68"/>
          <cell r="M68"/>
          <cell r="N68"/>
          <cell r="O68"/>
          <cell r="P68">
            <v>0</v>
          </cell>
        </row>
        <row r="69">
          <cell r="D69">
            <v>0</v>
          </cell>
          <cell r="E69"/>
          <cell r="F69"/>
          <cell r="G69"/>
          <cell r="H69"/>
          <cell r="I69"/>
          <cell r="J69"/>
          <cell r="K69"/>
          <cell r="L69"/>
          <cell r="M69"/>
          <cell r="N69"/>
          <cell r="O69"/>
          <cell r="P69">
            <v>0</v>
          </cell>
        </row>
        <row r="70">
          <cell r="D70">
            <v>3</v>
          </cell>
          <cell r="E70"/>
          <cell r="F70"/>
          <cell r="G70"/>
          <cell r="H70"/>
          <cell r="I70"/>
          <cell r="J70"/>
          <cell r="K70"/>
          <cell r="L70"/>
          <cell r="M70"/>
          <cell r="N70"/>
          <cell r="O70"/>
          <cell r="P70">
            <v>3</v>
          </cell>
        </row>
        <row r="71">
          <cell r="D71">
            <v>4</v>
          </cell>
          <cell r="E71"/>
          <cell r="F71"/>
          <cell r="G71"/>
          <cell r="H71"/>
          <cell r="I71"/>
          <cell r="J71"/>
          <cell r="K71"/>
          <cell r="L71"/>
          <cell r="M71"/>
          <cell r="N71"/>
          <cell r="O71"/>
          <cell r="P71">
            <v>4</v>
          </cell>
        </row>
        <row r="72">
          <cell r="D72">
            <v>1</v>
          </cell>
          <cell r="E72"/>
          <cell r="F72"/>
          <cell r="G72"/>
          <cell r="H72"/>
          <cell r="I72"/>
          <cell r="J72"/>
          <cell r="K72"/>
          <cell r="L72"/>
          <cell r="M72"/>
          <cell r="N72"/>
          <cell r="O72"/>
          <cell r="P72">
            <v>1</v>
          </cell>
        </row>
        <row r="73">
          <cell r="D73">
            <v>2</v>
          </cell>
          <cell r="E73"/>
          <cell r="F73"/>
          <cell r="G73"/>
          <cell r="H73"/>
          <cell r="I73"/>
          <cell r="J73"/>
          <cell r="K73"/>
          <cell r="L73"/>
          <cell r="M73"/>
          <cell r="N73"/>
          <cell r="O73"/>
          <cell r="P73">
            <v>2</v>
          </cell>
        </row>
        <row r="74">
          <cell r="D74">
            <v>0</v>
          </cell>
          <cell r="E74"/>
          <cell r="F74"/>
          <cell r="G74"/>
          <cell r="H74"/>
          <cell r="I74"/>
          <cell r="J74"/>
          <cell r="K74"/>
          <cell r="L74"/>
          <cell r="M74"/>
          <cell r="N74"/>
          <cell r="O74"/>
          <cell r="P74">
            <v>0</v>
          </cell>
        </row>
        <row r="75">
          <cell r="D75">
            <v>0</v>
          </cell>
          <cell r="E75"/>
          <cell r="F75"/>
          <cell r="G75"/>
          <cell r="H75"/>
          <cell r="I75"/>
          <cell r="J75"/>
          <cell r="K75"/>
          <cell r="L75"/>
          <cell r="M75"/>
          <cell r="N75"/>
          <cell r="O75"/>
          <cell r="P75">
            <v>0</v>
          </cell>
        </row>
        <row r="76">
          <cell r="D76">
            <v>1</v>
          </cell>
          <cell r="E76"/>
          <cell r="F76"/>
          <cell r="G76"/>
          <cell r="H76"/>
          <cell r="I76"/>
          <cell r="J76"/>
          <cell r="K76"/>
          <cell r="L76"/>
          <cell r="M76"/>
          <cell r="N76"/>
          <cell r="O76"/>
          <cell r="P76">
            <v>1</v>
          </cell>
        </row>
        <row r="77">
          <cell r="D77">
            <v>2</v>
          </cell>
          <cell r="E77"/>
          <cell r="F77"/>
          <cell r="G77"/>
          <cell r="H77"/>
          <cell r="I77"/>
          <cell r="J77"/>
          <cell r="K77"/>
          <cell r="L77"/>
          <cell r="M77"/>
          <cell r="N77"/>
          <cell r="O77"/>
          <cell r="P77">
            <v>2</v>
          </cell>
        </row>
        <row r="78">
          <cell r="D78">
            <v>5</v>
          </cell>
          <cell r="E78"/>
          <cell r="F78"/>
          <cell r="G78"/>
          <cell r="H78"/>
          <cell r="I78"/>
          <cell r="J78"/>
          <cell r="K78"/>
          <cell r="L78"/>
          <cell r="M78"/>
          <cell r="N78"/>
          <cell r="O78"/>
          <cell r="P78">
            <v>5</v>
          </cell>
        </row>
        <row r="79">
          <cell r="D79">
            <v>8</v>
          </cell>
          <cell r="E79"/>
          <cell r="F79"/>
          <cell r="G79"/>
          <cell r="H79"/>
          <cell r="I79"/>
          <cell r="J79"/>
          <cell r="K79"/>
          <cell r="L79"/>
          <cell r="M79"/>
          <cell r="N79"/>
          <cell r="O79"/>
          <cell r="P79">
            <v>8</v>
          </cell>
        </row>
        <row r="82">
          <cell r="D82" t="str">
            <v>0</v>
          </cell>
          <cell r="E82" t="str">
            <v>0</v>
          </cell>
          <cell r="F82"/>
          <cell r="G82"/>
          <cell r="H82"/>
          <cell r="I82"/>
          <cell r="J82"/>
          <cell r="K82"/>
          <cell r="L82"/>
          <cell r="M82"/>
          <cell r="N82"/>
          <cell r="O82"/>
          <cell r="P82"/>
        </row>
        <row r="83">
          <cell r="D83" t="str">
            <v>0</v>
          </cell>
          <cell r="E83" t="str">
            <v>0</v>
          </cell>
          <cell r="F83"/>
          <cell r="G83"/>
          <cell r="H83"/>
          <cell r="I83"/>
          <cell r="J83"/>
          <cell r="K83"/>
          <cell r="L83"/>
          <cell r="M83"/>
          <cell r="N83"/>
          <cell r="O83"/>
          <cell r="P83"/>
        </row>
        <row r="84">
          <cell r="D84" t="str">
            <v>0</v>
          </cell>
          <cell r="E84" t="str">
            <v>0</v>
          </cell>
          <cell r="F84"/>
          <cell r="G84"/>
          <cell r="H84"/>
          <cell r="I84"/>
          <cell r="J84"/>
          <cell r="K84"/>
          <cell r="L84"/>
          <cell r="M84"/>
          <cell r="N84"/>
          <cell r="O84"/>
          <cell r="P84"/>
        </row>
        <row r="85">
          <cell r="D85" t="str">
            <v>0</v>
          </cell>
          <cell r="E85" t="str">
            <v>0</v>
          </cell>
          <cell r="F85"/>
          <cell r="G85"/>
          <cell r="H85"/>
          <cell r="I85"/>
          <cell r="J85"/>
          <cell r="K85"/>
          <cell r="L85"/>
          <cell r="M85"/>
          <cell r="N85"/>
          <cell r="O85"/>
          <cell r="P85"/>
        </row>
        <row r="86">
          <cell r="D86" t="str">
            <v>0</v>
          </cell>
          <cell r="E86" t="str">
            <v>0</v>
          </cell>
          <cell r="F86"/>
          <cell r="G86"/>
          <cell r="H86"/>
          <cell r="I86"/>
          <cell r="J86"/>
          <cell r="K86"/>
          <cell r="L86"/>
          <cell r="M86"/>
          <cell r="N86"/>
          <cell r="O86"/>
          <cell r="P86"/>
        </row>
        <row r="87">
          <cell r="D87" t="str">
            <v>0</v>
          </cell>
          <cell r="E87" t="str">
            <v>0</v>
          </cell>
          <cell r="F87"/>
          <cell r="G87"/>
          <cell r="H87"/>
          <cell r="I87"/>
          <cell r="J87"/>
          <cell r="K87"/>
          <cell r="L87"/>
          <cell r="M87"/>
          <cell r="N87"/>
          <cell r="O87"/>
          <cell r="P87"/>
        </row>
        <row r="88">
          <cell r="D88" t="str">
            <v>0</v>
          </cell>
          <cell r="E88" t="str">
            <v>0</v>
          </cell>
          <cell r="F88"/>
          <cell r="G88"/>
          <cell r="H88"/>
          <cell r="I88"/>
          <cell r="J88"/>
          <cell r="K88"/>
          <cell r="L88"/>
          <cell r="M88"/>
          <cell r="N88"/>
          <cell r="O88"/>
          <cell r="P88"/>
        </row>
        <row r="89">
          <cell r="D89" t="str">
            <v>0</v>
          </cell>
          <cell r="E89" t="str">
            <v>0</v>
          </cell>
          <cell r="F89"/>
          <cell r="G89"/>
          <cell r="H89"/>
          <cell r="I89"/>
          <cell r="J89"/>
          <cell r="K89"/>
          <cell r="L89"/>
          <cell r="M89"/>
          <cell r="N89"/>
          <cell r="O89"/>
          <cell r="P89"/>
        </row>
        <row r="90">
          <cell r="D90" t="str">
            <v>0</v>
          </cell>
          <cell r="E90" t="str">
            <v>0</v>
          </cell>
          <cell r="F90"/>
          <cell r="G90"/>
          <cell r="H90"/>
          <cell r="I90"/>
          <cell r="J90"/>
          <cell r="K90"/>
          <cell r="L90"/>
          <cell r="M90"/>
          <cell r="N90"/>
          <cell r="O90"/>
          <cell r="P90"/>
        </row>
        <row r="91">
          <cell r="D91" t="str">
            <v>0</v>
          </cell>
          <cell r="E91" t="str">
            <v>0</v>
          </cell>
          <cell r="F91"/>
          <cell r="G91"/>
          <cell r="H91"/>
          <cell r="I91"/>
          <cell r="J91"/>
          <cell r="K91"/>
          <cell r="L91"/>
          <cell r="M91"/>
          <cell r="N91"/>
          <cell r="O91"/>
          <cell r="P91"/>
        </row>
        <row r="92">
          <cell r="D92" t="str">
            <v>0</v>
          </cell>
          <cell r="E92" t="str">
            <v>0</v>
          </cell>
          <cell r="F92"/>
          <cell r="G92"/>
          <cell r="H92"/>
          <cell r="I92"/>
          <cell r="J92"/>
          <cell r="K92"/>
          <cell r="L92"/>
          <cell r="M92"/>
          <cell r="N92"/>
          <cell r="O92"/>
          <cell r="P92"/>
        </row>
        <row r="93">
          <cell r="D93" t="str">
            <v>0</v>
          </cell>
          <cell r="E93" t="str">
            <v>0</v>
          </cell>
          <cell r="F93"/>
          <cell r="G93"/>
          <cell r="H93"/>
          <cell r="I93"/>
          <cell r="J93"/>
          <cell r="K93"/>
          <cell r="L93"/>
          <cell r="M93"/>
          <cell r="N93"/>
          <cell r="O93"/>
          <cell r="P93"/>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cell r="F3"/>
          <cell r="G3"/>
          <cell r="H3"/>
          <cell r="I3"/>
          <cell r="J3"/>
          <cell r="K3"/>
          <cell r="L3"/>
          <cell r="M3"/>
          <cell r="N3"/>
          <cell r="O3">
            <v>66</v>
          </cell>
          <cell r="S3">
            <v>1</v>
          </cell>
          <cell r="T3">
            <v>0</v>
          </cell>
          <cell r="U3"/>
          <cell r="V3"/>
          <cell r="W3"/>
          <cell r="X3"/>
          <cell r="Y3"/>
          <cell r="Z3"/>
          <cell r="AA3"/>
          <cell r="AB3"/>
          <cell r="AC3"/>
          <cell r="AD3"/>
          <cell r="AE3">
            <v>1</v>
          </cell>
        </row>
        <row r="4">
          <cell r="C4">
            <v>-0.71134020618556704</v>
          </cell>
          <cell r="D4">
            <v>-0.49333333333333329</v>
          </cell>
          <cell r="E4"/>
          <cell r="F4"/>
          <cell r="G4"/>
          <cell r="H4"/>
          <cell r="I4"/>
          <cell r="J4"/>
          <cell r="K4"/>
          <cell r="L4"/>
          <cell r="M4"/>
          <cell r="N4"/>
          <cell r="O4">
            <v>-0.8595744680851064</v>
          </cell>
          <cell r="S4">
            <v>-0.9</v>
          </cell>
          <cell r="T4">
            <v>-1</v>
          </cell>
          <cell r="U4"/>
          <cell r="V4"/>
          <cell r="W4"/>
          <cell r="X4"/>
          <cell r="Y4"/>
          <cell r="Z4"/>
          <cell r="AA4"/>
          <cell r="AB4"/>
          <cell r="AC4"/>
          <cell r="AD4"/>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cell r="F6"/>
          <cell r="G6"/>
          <cell r="H6"/>
          <cell r="I6"/>
          <cell r="J6"/>
          <cell r="K6"/>
          <cell r="L6"/>
          <cell r="M6"/>
          <cell r="N6"/>
          <cell r="O6">
            <v>241</v>
          </cell>
          <cell r="S6">
            <v>40</v>
          </cell>
          <cell r="T6">
            <v>34</v>
          </cell>
          <cell r="U6"/>
          <cell r="V6"/>
          <cell r="W6"/>
          <cell r="X6"/>
          <cell r="Y6"/>
          <cell r="Z6"/>
          <cell r="AA6"/>
          <cell r="AB6"/>
          <cell r="AC6"/>
          <cell r="AD6"/>
          <cell r="AE6">
            <v>74</v>
          </cell>
        </row>
        <row r="7">
          <cell r="C7">
            <v>-0.60167130919220058</v>
          </cell>
          <cell r="D7">
            <v>-0.72237960339943341</v>
          </cell>
          <cell r="E7"/>
          <cell r="F7"/>
          <cell r="G7"/>
          <cell r="H7"/>
          <cell r="I7"/>
          <cell r="J7"/>
          <cell r="K7"/>
          <cell r="L7"/>
          <cell r="M7"/>
          <cell r="N7"/>
          <cell r="O7">
            <v>-0.92764935454818376</v>
          </cell>
          <cell r="S7">
            <v>-0.66101694915254239</v>
          </cell>
          <cell r="T7">
            <v>-0.68518518518518512</v>
          </cell>
          <cell r="U7"/>
          <cell r="V7"/>
          <cell r="W7"/>
          <cell r="X7"/>
          <cell r="Y7"/>
          <cell r="Z7"/>
          <cell r="AA7"/>
          <cell r="AB7"/>
          <cell r="AC7"/>
          <cell r="AD7"/>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cell r="F9"/>
          <cell r="G9"/>
          <cell r="H9"/>
          <cell r="I9"/>
          <cell r="J9"/>
          <cell r="K9"/>
          <cell r="L9"/>
          <cell r="M9"/>
          <cell r="N9"/>
          <cell r="O9">
            <v>101</v>
          </cell>
          <cell r="S9">
            <v>15</v>
          </cell>
          <cell r="T9">
            <v>17</v>
          </cell>
          <cell r="U9"/>
          <cell r="V9"/>
          <cell r="W9"/>
          <cell r="X9"/>
          <cell r="Y9"/>
          <cell r="Z9"/>
          <cell r="AA9"/>
          <cell r="AB9"/>
          <cell r="AC9"/>
          <cell r="AD9"/>
          <cell r="AE9">
            <v>32</v>
          </cell>
        </row>
        <row r="10">
          <cell r="C10">
            <v>-0.7699530516431925</v>
          </cell>
          <cell r="D10">
            <v>-0.7189189189189189</v>
          </cell>
          <cell r="E10"/>
          <cell r="F10"/>
          <cell r="G10"/>
          <cell r="H10"/>
          <cell r="I10"/>
          <cell r="J10"/>
          <cell r="K10"/>
          <cell r="L10"/>
          <cell r="M10"/>
          <cell r="N10"/>
          <cell r="O10">
            <v>-0.92790863668807999</v>
          </cell>
          <cell r="S10">
            <v>-0.375</v>
          </cell>
          <cell r="T10">
            <v>0.21428571428571419</v>
          </cell>
          <cell r="U10"/>
          <cell r="V10"/>
          <cell r="W10"/>
          <cell r="X10"/>
          <cell r="Y10"/>
          <cell r="Z10"/>
          <cell r="AA10"/>
          <cell r="AB10"/>
          <cell r="AC10"/>
          <cell r="AD10"/>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cell r="F12"/>
          <cell r="G12"/>
          <cell r="H12"/>
          <cell r="I12"/>
          <cell r="J12"/>
          <cell r="K12"/>
          <cell r="L12"/>
          <cell r="M12"/>
          <cell r="N12"/>
          <cell r="O12">
            <v>64</v>
          </cell>
          <cell r="S12">
            <v>15</v>
          </cell>
          <cell r="T12">
            <v>6</v>
          </cell>
          <cell r="U12"/>
          <cell r="V12"/>
          <cell r="W12"/>
          <cell r="X12"/>
          <cell r="Y12"/>
          <cell r="Z12"/>
          <cell r="AA12"/>
          <cell r="AB12"/>
          <cell r="AC12"/>
          <cell r="AD12"/>
          <cell r="AE12">
            <v>21</v>
          </cell>
        </row>
        <row r="13">
          <cell r="C13">
            <v>-0.90816326530612246</v>
          </cell>
          <cell r="D13">
            <v>-0.76433121019108285</v>
          </cell>
          <cell r="E13"/>
          <cell r="F13"/>
          <cell r="G13"/>
          <cell r="H13"/>
          <cell r="I13"/>
          <cell r="J13"/>
          <cell r="K13"/>
          <cell r="L13"/>
          <cell r="M13"/>
          <cell r="N13"/>
          <cell r="O13">
            <v>-0.95583160800552103</v>
          </cell>
          <cell r="S13">
            <v>-0.81927710843373491</v>
          </cell>
          <cell r="T13">
            <v>-0.90769230769230769</v>
          </cell>
          <cell r="U13"/>
          <cell r="V13"/>
          <cell r="W13"/>
          <cell r="X13"/>
          <cell r="Y13"/>
          <cell r="Z13"/>
          <cell r="AA13"/>
          <cell r="AB13"/>
          <cell r="AC13"/>
          <cell r="AD13"/>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cell r="F15"/>
          <cell r="G15"/>
          <cell r="H15"/>
          <cell r="I15"/>
          <cell r="J15"/>
          <cell r="K15"/>
          <cell r="L15"/>
          <cell r="M15"/>
          <cell r="N15"/>
          <cell r="O15">
            <v>238</v>
          </cell>
          <cell r="S15">
            <v>19</v>
          </cell>
          <cell r="T15">
            <v>24</v>
          </cell>
          <cell r="U15"/>
          <cell r="V15"/>
          <cell r="W15"/>
          <cell r="X15"/>
          <cell r="Y15"/>
          <cell r="Z15"/>
          <cell r="AA15"/>
          <cell r="AB15"/>
          <cell r="AC15"/>
          <cell r="AD15"/>
          <cell r="AE15">
            <v>43</v>
          </cell>
        </row>
        <row r="16">
          <cell r="C16">
            <v>-0.41566265060240959</v>
          </cell>
          <cell r="D16">
            <v>-0.23369565217391308</v>
          </cell>
          <cell r="E16"/>
          <cell r="F16"/>
          <cell r="G16"/>
          <cell r="H16"/>
          <cell r="I16"/>
          <cell r="J16"/>
          <cell r="K16"/>
          <cell r="L16"/>
          <cell r="M16"/>
          <cell r="N16"/>
          <cell r="O16">
            <v>-0.87374005305039781</v>
          </cell>
          <cell r="S16">
            <v>-0.17391304347826086</v>
          </cell>
          <cell r="T16">
            <v>-7.6923076923076872E-2</v>
          </cell>
          <cell r="U16"/>
          <cell r="V16"/>
          <cell r="W16"/>
          <cell r="X16"/>
          <cell r="Y16"/>
          <cell r="Z16"/>
          <cell r="AA16"/>
          <cell r="AB16"/>
          <cell r="AC16"/>
          <cell r="AD16"/>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cell r="F18"/>
          <cell r="G18"/>
          <cell r="H18"/>
          <cell r="I18"/>
          <cell r="J18"/>
          <cell r="K18"/>
          <cell r="L18"/>
          <cell r="M18"/>
          <cell r="N18"/>
          <cell r="O18">
            <v>710</v>
          </cell>
          <cell r="S18">
            <v>90</v>
          </cell>
          <cell r="T18">
            <v>81</v>
          </cell>
          <cell r="U18"/>
          <cell r="V18"/>
          <cell r="W18"/>
          <cell r="X18"/>
          <cell r="Y18"/>
          <cell r="Z18"/>
          <cell r="AA18"/>
          <cell r="AB18"/>
          <cell r="AC18"/>
          <cell r="AD18"/>
          <cell r="AE18">
            <v>171</v>
          </cell>
        </row>
        <row r="19">
          <cell r="C19">
            <v>-0.69530558015943311</v>
          </cell>
          <cell r="D19">
            <v>-0.61635220125786161</v>
          </cell>
          <cell r="E19"/>
          <cell r="F19"/>
          <cell r="G19"/>
          <cell r="H19"/>
          <cell r="I19"/>
          <cell r="J19"/>
          <cell r="K19"/>
          <cell r="L19"/>
          <cell r="M19"/>
          <cell r="N19"/>
          <cell r="O19">
            <v>-0.91682286785379574</v>
          </cell>
          <cell r="S19">
            <v>-0.65116279069767447</v>
          </cell>
          <cell r="T19">
            <v>-0.62325581395348839</v>
          </cell>
          <cell r="U19"/>
          <cell r="V19"/>
          <cell r="W19"/>
          <cell r="X19"/>
          <cell r="Y19"/>
          <cell r="Z19"/>
          <cell r="AA19"/>
          <cell r="AB19"/>
          <cell r="AC19"/>
          <cell r="AD19"/>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cell r="J2"/>
          <cell r="K2"/>
          <cell r="L2"/>
          <cell r="M2"/>
          <cell r="N2"/>
          <cell r="O2"/>
          <cell r="P2"/>
          <cell r="Q2"/>
          <cell r="R2"/>
          <cell r="S2"/>
        </row>
        <row r="3">
          <cell r="G3">
            <v>0</v>
          </cell>
          <cell r="H3">
            <v>0</v>
          </cell>
          <cell r="I3"/>
          <cell r="J3"/>
          <cell r="K3"/>
          <cell r="L3"/>
          <cell r="M3"/>
          <cell r="N3"/>
          <cell r="O3"/>
          <cell r="P3"/>
          <cell r="Q3"/>
          <cell r="R3"/>
          <cell r="S3"/>
        </row>
        <row r="4">
          <cell r="G4">
            <v>12</v>
          </cell>
          <cell r="H4">
            <v>12</v>
          </cell>
          <cell r="I4"/>
          <cell r="J4"/>
          <cell r="K4"/>
          <cell r="L4"/>
          <cell r="M4"/>
          <cell r="N4"/>
          <cell r="O4"/>
          <cell r="P4"/>
          <cell r="Q4"/>
          <cell r="R4"/>
          <cell r="S4"/>
        </row>
        <row r="5">
          <cell r="G5">
            <v>0</v>
          </cell>
          <cell r="H5">
            <v>0</v>
          </cell>
          <cell r="I5"/>
          <cell r="J5"/>
          <cell r="K5"/>
          <cell r="L5"/>
          <cell r="M5"/>
          <cell r="N5"/>
          <cell r="O5"/>
          <cell r="P5"/>
          <cell r="Q5"/>
          <cell r="R5"/>
          <cell r="S5"/>
        </row>
        <row r="6">
          <cell r="G6">
            <v>0</v>
          </cell>
          <cell r="H6">
            <v>0</v>
          </cell>
          <cell r="I6"/>
          <cell r="J6"/>
          <cell r="K6"/>
          <cell r="L6"/>
          <cell r="M6"/>
          <cell r="N6"/>
          <cell r="O6"/>
          <cell r="P6"/>
          <cell r="Q6"/>
          <cell r="R6"/>
          <cell r="S6"/>
        </row>
        <row r="7">
          <cell r="G7">
            <v>0.5</v>
          </cell>
          <cell r="H7">
            <v>0.5</v>
          </cell>
          <cell r="I7"/>
          <cell r="J7"/>
          <cell r="K7"/>
          <cell r="L7"/>
          <cell r="M7"/>
          <cell r="N7"/>
          <cell r="O7"/>
          <cell r="P7"/>
          <cell r="Q7"/>
          <cell r="R7"/>
          <cell r="S7"/>
        </row>
        <row r="8">
          <cell r="G8">
            <v>0</v>
          </cell>
          <cell r="H8">
            <v>37</v>
          </cell>
          <cell r="I8"/>
          <cell r="J8"/>
          <cell r="K8"/>
          <cell r="L8"/>
          <cell r="M8"/>
          <cell r="N8"/>
          <cell r="O8"/>
          <cell r="P8"/>
          <cell r="Q8"/>
          <cell r="R8"/>
          <cell r="S8"/>
        </row>
        <row r="9">
          <cell r="G9">
            <v>0</v>
          </cell>
          <cell r="H9">
            <v>19</v>
          </cell>
          <cell r="I9"/>
          <cell r="J9"/>
          <cell r="K9"/>
          <cell r="L9"/>
          <cell r="M9"/>
          <cell r="N9"/>
          <cell r="O9"/>
          <cell r="P9"/>
          <cell r="Q9"/>
          <cell r="R9"/>
          <cell r="S9"/>
        </row>
        <row r="10">
          <cell r="G10">
            <v>12</v>
          </cell>
          <cell r="H10">
            <v>12</v>
          </cell>
          <cell r="I10"/>
          <cell r="J10"/>
          <cell r="K10"/>
          <cell r="L10"/>
          <cell r="M10"/>
          <cell r="N10"/>
          <cell r="O10"/>
          <cell r="P10"/>
          <cell r="Q10"/>
          <cell r="R10"/>
          <cell r="S10"/>
        </row>
        <row r="11">
          <cell r="G11">
            <v>0</v>
          </cell>
          <cell r="H11">
            <v>4.3899999999999997</v>
          </cell>
          <cell r="I11"/>
          <cell r="J11"/>
          <cell r="K11"/>
          <cell r="L11"/>
          <cell r="M11"/>
          <cell r="N11"/>
          <cell r="O11"/>
          <cell r="P11"/>
          <cell r="Q11"/>
          <cell r="R11"/>
          <cell r="S11"/>
        </row>
        <row r="12">
          <cell r="G12">
            <v>0</v>
          </cell>
          <cell r="H12">
            <v>2.2000000000000002</v>
          </cell>
          <cell r="I12"/>
          <cell r="J12"/>
          <cell r="K12"/>
          <cell r="L12"/>
          <cell r="M12"/>
          <cell r="N12"/>
          <cell r="O12"/>
          <cell r="P12"/>
          <cell r="Q12"/>
          <cell r="R12"/>
          <cell r="S12"/>
        </row>
        <row r="13">
          <cell r="G13">
            <v>0.5</v>
          </cell>
          <cell r="H13">
            <v>0.5</v>
          </cell>
          <cell r="I13"/>
          <cell r="J13"/>
          <cell r="K13"/>
          <cell r="L13"/>
          <cell r="M13"/>
          <cell r="N13"/>
          <cell r="O13"/>
          <cell r="P13"/>
          <cell r="Q13"/>
          <cell r="R13"/>
          <cell r="S13"/>
        </row>
        <row r="14">
          <cell r="G14">
            <v>0</v>
          </cell>
          <cell r="H14">
            <v>0</v>
          </cell>
          <cell r="I14"/>
          <cell r="J14"/>
          <cell r="K14"/>
          <cell r="L14"/>
          <cell r="M14"/>
          <cell r="N14"/>
          <cell r="O14"/>
          <cell r="P14"/>
          <cell r="Q14"/>
          <cell r="R14"/>
          <cell r="S14"/>
        </row>
        <row r="15">
          <cell r="G15">
            <v>0</v>
          </cell>
          <cell r="H15">
            <v>0</v>
          </cell>
          <cell r="I15"/>
          <cell r="J15"/>
          <cell r="K15"/>
          <cell r="L15"/>
          <cell r="M15"/>
          <cell r="N15"/>
          <cell r="O15"/>
          <cell r="P15"/>
          <cell r="Q15"/>
          <cell r="R15"/>
          <cell r="S15"/>
        </row>
        <row r="16">
          <cell r="G16">
            <v>12</v>
          </cell>
          <cell r="H16">
            <v>12</v>
          </cell>
          <cell r="I16"/>
          <cell r="J16"/>
          <cell r="K16"/>
          <cell r="L16"/>
          <cell r="M16"/>
          <cell r="N16"/>
          <cell r="O16"/>
          <cell r="P16"/>
          <cell r="Q16"/>
          <cell r="R16"/>
          <cell r="S16"/>
        </row>
        <row r="17">
          <cell r="G17">
            <v>0</v>
          </cell>
          <cell r="H17">
            <v>0</v>
          </cell>
          <cell r="I17"/>
          <cell r="J17"/>
          <cell r="K17"/>
          <cell r="L17"/>
          <cell r="M17"/>
          <cell r="N17"/>
          <cell r="O17"/>
          <cell r="P17"/>
          <cell r="Q17"/>
          <cell r="R17"/>
          <cell r="S17"/>
        </row>
        <row r="18">
          <cell r="G18">
            <v>0</v>
          </cell>
          <cell r="H18">
            <v>0</v>
          </cell>
          <cell r="I18"/>
          <cell r="J18"/>
          <cell r="K18"/>
          <cell r="L18"/>
          <cell r="M18"/>
          <cell r="N18"/>
          <cell r="O18"/>
          <cell r="P18"/>
          <cell r="Q18"/>
          <cell r="R18"/>
          <cell r="S18"/>
        </row>
        <row r="19">
          <cell r="G19">
            <v>0.5</v>
          </cell>
          <cell r="H19">
            <v>0.5</v>
          </cell>
          <cell r="I19"/>
          <cell r="J19"/>
          <cell r="K19"/>
          <cell r="L19"/>
          <cell r="M19"/>
          <cell r="N19"/>
          <cell r="O19"/>
          <cell r="P19"/>
          <cell r="Q19"/>
          <cell r="R19"/>
          <cell r="S19"/>
        </row>
        <row r="20">
          <cell r="G20">
            <v>0</v>
          </cell>
          <cell r="H20">
            <v>0</v>
          </cell>
          <cell r="I20"/>
          <cell r="J20"/>
          <cell r="K20"/>
          <cell r="L20"/>
          <cell r="M20"/>
          <cell r="N20"/>
          <cell r="O20"/>
          <cell r="P20"/>
          <cell r="Q20"/>
          <cell r="R20"/>
          <cell r="S20"/>
        </row>
        <row r="21">
          <cell r="G21">
            <v>0</v>
          </cell>
          <cell r="H21">
            <v>0</v>
          </cell>
          <cell r="I21"/>
          <cell r="J21"/>
          <cell r="K21"/>
          <cell r="L21"/>
          <cell r="M21"/>
          <cell r="N21"/>
          <cell r="O21"/>
          <cell r="P21"/>
          <cell r="Q21"/>
          <cell r="R21"/>
          <cell r="S21"/>
        </row>
        <row r="22">
          <cell r="G22">
            <v>12</v>
          </cell>
          <cell r="H22">
            <v>12</v>
          </cell>
          <cell r="I22"/>
          <cell r="J22"/>
          <cell r="K22"/>
          <cell r="L22"/>
          <cell r="M22"/>
          <cell r="N22"/>
          <cell r="O22"/>
          <cell r="P22"/>
          <cell r="Q22"/>
          <cell r="R22"/>
          <cell r="S22"/>
        </row>
        <row r="23">
          <cell r="G23">
            <v>0</v>
          </cell>
          <cell r="H23">
            <v>0</v>
          </cell>
          <cell r="I23"/>
          <cell r="J23"/>
          <cell r="K23"/>
          <cell r="L23"/>
          <cell r="M23"/>
          <cell r="N23"/>
          <cell r="O23"/>
          <cell r="P23"/>
          <cell r="Q23"/>
          <cell r="R23"/>
          <cell r="S23"/>
        </row>
        <row r="24">
          <cell r="G24">
            <v>0</v>
          </cell>
          <cell r="H24">
            <v>0</v>
          </cell>
          <cell r="I24"/>
          <cell r="J24"/>
          <cell r="K24"/>
          <cell r="L24"/>
          <cell r="M24"/>
          <cell r="N24"/>
          <cell r="O24"/>
          <cell r="P24"/>
          <cell r="Q24"/>
          <cell r="R24"/>
          <cell r="S24"/>
        </row>
        <row r="25">
          <cell r="G25">
            <v>0.5</v>
          </cell>
          <cell r="H25">
            <v>0.5</v>
          </cell>
          <cell r="I25"/>
          <cell r="J25"/>
          <cell r="K25"/>
          <cell r="L25"/>
          <cell r="M25"/>
          <cell r="N25"/>
          <cell r="O25"/>
          <cell r="P25"/>
          <cell r="Q25"/>
          <cell r="R25"/>
          <cell r="S25"/>
        </row>
        <row r="26">
          <cell r="G26">
            <v>0</v>
          </cell>
          <cell r="H26">
            <v>0</v>
          </cell>
          <cell r="I26"/>
          <cell r="J26"/>
          <cell r="K26"/>
          <cell r="L26"/>
          <cell r="M26"/>
          <cell r="N26"/>
          <cell r="O26"/>
          <cell r="P26"/>
          <cell r="Q26"/>
          <cell r="R26"/>
          <cell r="S26"/>
        </row>
        <row r="27">
          <cell r="G27">
            <v>0</v>
          </cell>
          <cell r="H27">
            <v>0</v>
          </cell>
          <cell r="I27"/>
          <cell r="J27"/>
          <cell r="K27"/>
          <cell r="L27"/>
          <cell r="M27"/>
          <cell r="N27"/>
          <cell r="O27"/>
          <cell r="P27"/>
          <cell r="Q27"/>
          <cell r="R27"/>
          <cell r="S27"/>
        </row>
        <row r="28">
          <cell r="G28">
            <v>12</v>
          </cell>
          <cell r="H28">
            <v>12</v>
          </cell>
          <cell r="I28"/>
          <cell r="J28"/>
          <cell r="K28"/>
          <cell r="L28"/>
          <cell r="M28"/>
          <cell r="N28"/>
          <cell r="O28"/>
          <cell r="P28"/>
          <cell r="Q28"/>
          <cell r="R28"/>
          <cell r="S28"/>
        </row>
        <row r="29">
          <cell r="G29">
            <v>0</v>
          </cell>
          <cell r="H29">
            <v>0</v>
          </cell>
          <cell r="I29"/>
          <cell r="J29"/>
          <cell r="K29"/>
          <cell r="L29"/>
          <cell r="M29"/>
          <cell r="N29"/>
          <cell r="O29"/>
          <cell r="P29"/>
          <cell r="Q29"/>
          <cell r="R29"/>
          <cell r="S29"/>
        </row>
        <row r="30">
          <cell r="G30">
            <v>0</v>
          </cell>
          <cell r="H30">
            <v>0</v>
          </cell>
          <cell r="I30"/>
          <cell r="J30"/>
          <cell r="K30"/>
          <cell r="L30"/>
          <cell r="M30"/>
          <cell r="N30"/>
          <cell r="O30"/>
          <cell r="P30"/>
          <cell r="Q30"/>
          <cell r="R30"/>
          <cell r="S30"/>
        </row>
        <row r="31">
          <cell r="G31">
            <v>0.5</v>
          </cell>
          <cell r="H31">
            <v>0.5</v>
          </cell>
          <cell r="I31"/>
          <cell r="J31"/>
          <cell r="K31"/>
          <cell r="L31"/>
          <cell r="M31"/>
          <cell r="N31"/>
          <cell r="O31"/>
          <cell r="P31"/>
          <cell r="Q31"/>
          <cell r="R31"/>
          <cell r="S31"/>
        </row>
        <row r="32">
          <cell r="G32">
            <v>0</v>
          </cell>
          <cell r="H32">
            <v>0</v>
          </cell>
          <cell r="I32"/>
          <cell r="J32"/>
          <cell r="K32"/>
          <cell r="L32"/>
          <cell r="M32"/>
          <cell r="N32"/>
          <cell r="O32"/>
          <cell r="P32"/>
          <cell r="Q32"/>
          <cell r="R32"/>
          <cell r="S32"/>
        </row>
        <row r="33">
          <cell r="G33">
            <v>0</v>
          </cell>
          <cell r="H33">
            <v>0</v>
          </cell>
          <cell r="I33"/>
          <cell r="J33"/>
          <cell r="K33"/>
          <cell r="L33"/>
          <cell r="M33"/>
          <cell r="N33"/>
          <cell r="O33"/>
          <cell r="P33"/>
          <cell r="Q33"/>
          <cell r="R33"/>
          <cell r="S33"/>
        </row>
        <row r="34">
          <cell r="G34">
            <v>12</v>
          </cell>
          <cell r="H34">
            <v>12</v>
          </cell>
          <cell r="I34"/>
          <cell r="J34"/>
          <cell r="K34"/>
          <cell r="L34"/>
          <cell r="M34"/>
          <cell r="N34"/>
          <cell r="O34"/>
          <cell r="P34"/>
          <cell r="Q34"/>
          <cell r="R34"/>
          <cell r="S34"/>
        </row>
        <row r="35">
          <cell r="G35">
            <v>0</v>
          </cell>
          <cell r="H35">
            <v>0</v>
          </cell>
          <cell r="I35"/>
          <cell r="J35"/>
          <cell r="K35"/>
          <cell r="L35"/>
          <cell r="M35"/>
          <cell r="N35"/>
          <cell r="O35"/>
          <cell r="P35"/>
          <cell r="Q35"/>
          <cell r="R35"/>
          <cell r="S35"/>
        </row>
        <row r="36">
          <cell r="G36">
            <v>0</v>
          </cell>
          <cell r="H36">
            <v>0</v>
          </cell>
          <cell r="I36"/>
          <cell r="J36"/>
          <cell r="K36"/>
          <cell r="L36"/>
          <cell r="M36"/>
          <cell r="N36"/>
          <cell r="O36"/>
          <cell r="P36"/>
          <cell r="Q36"/>
          <cell r="R36"/>
          <cell r="S36"/>
        </row>
        <row r="37">
          <cell r="G37">
            <v>0.5</v>
          </cell>
          <cell r="H37">
            <v>0.5</v>
          </cell>
          <cell r="I37"/>
          <cell r="J37"/>
          <cell r="K37"/>
          <cell r="L37"/>
          <cell r="M37"/>
          <cell r="N37"/>
          <cell r="O37"/>
          <cell r="P37"/>
          <cell r="Q37"/>
          <cell r="R37"/>
          <cell r="S37"/>
        </row>
        <row r="38">
          <cell r="G38">
            <v>0</v>
          </cell>
          <cell r="H38">
            <v>0</v>
          </cell>
          <cell r="I38"/>
          <cell r="J38"/>
          <cell r="K38"/>
          <cell r="L38"/>
          <cell r="M38"/>
          <cell r="N38"/>
          <cell r="O38"/>
          <cell r="P38"/>
          <cell r="Q38"/>
          <cell r="R38"/>
          <cell r="S38"/>
        </row>
        <row r="39">
          <cell r="G39">
            <v>0</v>
          </cell>
          <cell r="H39">
            <v>0</v>
          </cell>
          <cell r="I39"/>
          <cell r="J39"/>
          <cell r="K39"/>
          <cell r="L39"/>
          <cell r="M39"/>
          <cell r="N39"/>
          <cell r="O39"/>
          <cell r="P39"/>
          <cell r="Q39"/>
          <cell r="R39"/>
          <cell r="S39"/>
        </row>
        <row r="40">
          <cell r="G40">
            <v>12</v>
          </cell>
          <cell r="H40">
            <v>12</v>
          </cell>
          <cell r="I40"/>
          <cell r="J40"/>
          <cell r="K40"/>
          <cell r="L40"/>
          <cell r="M40"/>
          <cell r="N40"/>
          <cell r="O40"/>
          <cell r="P40"/>
          <cell r="Q40"/>
          <cell r="R40"/>
          <cell r="S40"/>
        </row>
        <row r="41">
          <cell r="G41">
            <v>0</v>
          </cell>
          <cell r="H41">
            <v>0</v>
          </cell>
          <cell r="I41"/>
          <cell r="J41"/>
          <cell r="K41"/>
          <cell r="L41"/>
          <cell r="M41"/>
          <cell r="N41"/>
          <cell r="O41"/>
          <cell r="P41"/>
          <cell r="Q41"/>
          <cell r="R41"/>
          <cell r="S41"/>
        </row>
        <row r="42">
          <cell r="G42">
            <v>0</v>
          </cell>
          <cell r="H42">
            <v>0</v>
          </cell>
          <cell r="I42"/>
          <cell r="J42"/>
          <cell r="K42"/>
          <cell r="L42"/>
          <cell r="M42"/>
          <cell r="N42"/>
          <cell r="O42"/>
          <cell r="P42"/>
          <cell r="Q42"/>
          <cell r="R42"/>
          <cell r="S42"/>
        </row>
        <row r="43">
          <cell r="G43">
            <v>0.5</v>
          </cell>
          <cell r="H43">
            <v>0.5</v>
          </cell>
          <cell r="I43"/>
          <cell r="J43"/>
          <cell r="K43"/>
          <cell r="L43"/>
          <cell r="M43"/>
          <cell r="N43"/>
          <cell r="O43"/>
          <cell r="P43"/>
          <cell r="Q43"/>
          <cell r="R43"/>
          <cell r="S43"/>
        </row>
        <row r="44">
          <cell r="G44">
            <v>0</v>
          </cell>
          <cell r="H44">
            <v>0</v>
          </cell>
          <cell r="I44"/>
          <cell r="J44"/>
          <cell r="K44"/>
          <cell r="L44"/>
          <cell r="M44"/>
          <cell r="N44"/>
          <cell r="O44"/>
          <cell r="P44"/>
          <cell r="Q44"/>
          <cell r="R44"/>
          <cell r="S44"/>
        </row>
        <row r="45">
          <cell r="G45">
            <v>0</v>
          </cell>
          <cell r="H45">
            <v>0</v>
          </cell>
          <cell r="I45"/>
          <cell r="J45"/>
          <cell r="K45"/>
          <cell r="L45"/>
          <cell r="M45"/>
          <cell r="N45"/>
          <cell r="O45"/>
          <cell r="P45"/>
          <cell r="Q45"/>
          <cell r="R45"/>
          <cell r="S45"/>
        </row>
        <row r="46">
          <cell r="G46">
            <v>12</v>
          </cell>
          <cell r="H46">
            <v>12</v>
          </cell>
          <cell r="I46"/>
          <cell r="J46"/>
          <cell r="K46"/>
          <cell r="L46"/>
          <cell r="M46"/>
          <cell r="N46"/>
          <cell r="O46"/>
          <cell r="P46"/>
          <cell r="Q46"/>
          <cell r="R46"/>
          <cell r="S46"/>
        </row>
        <row r="47">
          <cell r="G47">
            <v>0</v>
          </cell>
          <cell r="H47">
            <v>0</v>
          </cell>
          <cell r="I47"/>
          <cell r="J47"/>
          <cell r="K47"/>
          <cell r="L47"/>
          <cell r="M47"/>
          <cell r="N47"/>
          <cell r="O47"/>
          <cell r="P47"/>
          <cell r="Q47"/>
          <cell r="R47"/>
          <cell r="S47"/>
        </row>
        <row r="48">
          <cell r="G48">
            <v>0</v>
          </cell>
          <cell r="H48">
            <v>0</v>
          </cell>
          <cell r="I48"/>
          <cell r="J48"/>
          <cell r="K48"/>
          <cell r="L48"/>
          <cell r="M48"/>
          <cell r="N48"/>
          <cell r="O48"/>
          <cell r="P48"/>
          <cell r="Q48"/>
          <cell r="R48"/>
          <cell r="S48"/>
        </row>
        <row r="49">
          <cell r="G49">
            <v>0.5</v>
          </cell>
          <cell r="H49">
            <v>0.5</v>
          </cell>
          <cell r="I49"/>
          <cell r="J49"/>
          <cell r="K49"/>
          <cell r="L49"/>
          <cell r="M49"/>
          <cell r="N49"/>
          <cell r="O49"/>
          <cell r="P49"/>
          <cell r="Q49"/>
          <cell r="R49"/>
          <cell r="S49"/>
        </row>
        <row r="50">
          <cell r="G50">
            <v>0</v>
          </cell>
          <cell r="H50">
            <v>0</v>
          </cell>
          <cell r="I50"/>
          <cell r="J50"/>
          <cell r="K50"/>
          <cell r="L50"/>
          <cell r="M50"/>
          <cell r="N50"/>
          <cell r="O50"/>
          <cell r="P50"/>
          <cell r="Q50"/>
          <cell r="R50"/>
          <cell r="S50"/>
        </row>
        <row r="51">
          <cell r="G51">
            <v>0</v>
          </cell>
          <cell r="H51">
            <v>0</v>
          </cell>
          <cell r="I51"/>
          <cell r="J51"/>
          <cell r="K51"/>
          <cell r="L51"/>
          <cell r="M51"/>
          <cell r="N51"/>
          <cell r="O51"/>
          <cell r="P51"/>
          <cell r="Q51"/>
          <cell r="R51"/>
          <cell r="S51"/>
        </row>
        <row r="52">
          <cell r="G52">
            <v>12</v>
          </cell>
          <cell r="H52">
            <v>12</v>
          </cell>
          <cell r="I52"/>
          <cell r="J52"/>
          <cell r="K52"/>
          <cell r="L52"/>
          <cell r="M52"/>
          <cell r="N52"/>
          <cell r="O52"/>
          <cell r="P52"/>
          <cell r="Q52"/>
          <cell r="R52"/>
          <cell r="S52"/>
        </row>
        <row r="53">
          <cell r="G53">
            <v>0</v>
          </cell>
          <cell r="H53">
            <v>0</v>
          </cell>
          <cell r="I53"/>
          <cell r="J53"/>
          <cell r="K53"/>
          <cell r="L53"/>
          <cell r="M53"/>
          <cell r="N53"/>
          <cell r="O53"/>
          <cell r="P53"/>
          <cell r="Q53"/>
          <cell r="R53"/>
          <cell r="S53"/>
        </row>
        <row r="54">
          <cell r="G54">
            <v>0</v>
          </cell>
          <cell r="H54">
            <v>0</v>
          </cell>
          <cell r="I54"/>
          <cell r="J54"/>
          <cell r="K54"/>
          <cell r="L54"/>
          <cell r="M54"/>
          <cell r="N54"/>
          <cell r="O54"/>
          <cell r="P54"/>
          <cell r="Q54"/>
          <cell r="R54"/>
          <cell r="S54"/>
        </row>
        <row r="55">
          <cell r="G55">
            <v>0.5</v>
          </cell>
          <cell r="H55">
            <v>0.5</v>
          </cell>
          <cell r="I55"/>
          <cell r="J55"/>
          <cell r="K55"/>
          <cell r="L55"/>
          <cell r="M55"/>
          <cell r="N55"/>
          <cell r="O55"/>
          <cell r="P55"/>
          <cell r="Q55"/>
          <cell r="R55"/>
          <cell r="S55"/>
        </row>
        <row r="56">
          <cell r="G56">
            <v>0</v>
          </cell>
          <cell r="H56">
            <v>0</v>
          </cell>
          <cell r="I56"/>
          <cell r="J56"/>
          <cell r="K56"/>
          <cell r="L56"/>
          <cell r="M56"/>
          <cell r="N56"/>
          <cell r="O56"/>
          <cell r="P56"/>
          <cell r="Q56"/>
          <cell r="R56"/>
          <cell r="S56"/>
        </row>
        <row r="57">
          <cell r="G57">
            <v>0</v>
          </cell>
          <cell r="H57">
            <v>0</v>
          </cell>
          <cell r="I57"/>
          <cell r="J57"/>
          <cell r="K57"/>
          <cell r="L57"/>
          <cell r="M57"/>
          <cell r="N57"/>
          <cell r="O57"/>
          <cell r="P57"/>
          <cell r="Q57"/>
          <cell r="R57"/>
          <cell r="S57"/>
        </row>
        <row r="58">
          <cell r="G58">
            <v>12</v>
          </cell>
          <cell r="H58">
            <v>12</v>
          </cell>
          <cell r="I58"/>
          <cell r="J58"/>
          <cell r="K58"/>
          <cell r="L58"/>
          <cell r="M58"/>
          <cell r="N58"/>
          <cell r="O58"/>
          <cell r="P58"/>
          <cell r="Q58"/>
          <cell r="R58"/>
          <cell r="S58"/>
        </row>
        <row r="59">
          <cell r="G59">
            <v>0</v>
          </cell>
          <cell r="H59">
            <v>0</v>
          </cell>
          <cell r="I59"/>
          <cell r="J59"/>
          <cell r="K59"/>
          <cell r="L59"/>
          <cell r="M59"/>
          <cell r="N59"/>
          <cell r="O59"/>
          <cell r="P59"/>
          <cell r="Q59"/>
          <cell r="R59"/>
          <cell r="S59"/>
        </row>
        <row r="60">
          <cell r="G60">
            <v>0</v>
          </cell>
          <cell r="H60">
            <v>0</v>
          </cell>
          <cell r="I60"/>
          <cell r="J60"/>
          <cell r="K60"/>
          <cell r="L60"/>
          <cell r="M60"/>
          <cell r="N60"/>
          <cell r="O60"/>
          <cell r="P60"/>
          <cell r="Q60"/>
          <cell r="R60"/>
          <cell r="S60"/>
        </row>
        <row r="61">
          <cell r="G61">
            <v>0.5</v>
          </cell>
          <cell r="H61">
            <v>0.5</v>
          </cell>
          <cell r="I61"/>
          <cell r="J61"/>
          <cell r="K61"/>
          <cell r="L61"/>
          <cell r="M61"/>
          <cell r="N61"/>
          <cell r="O61"/>
          <cell r="P61"/>
          <cell r="Q61"/>
          <cell r="R61"/>
          <cell r="S61"/>
        </row>
        <row r="62">
          <cell r="G62">
            <v>0</v>
          </cell>
          <cell r="H62">
            <v>5</v>
          </cell>
          <cell r="I62"/>
          <cell r="J62"/>
          <cell r="K62"/>
          <cell r="L62"/>
          <cell r="M62"/>
          <cell r="N62"/>
          <cell r="O62"/>
          <cell r="P62"/>
          <cell r="Q62"/>
          <cell r="R62"/>
          <cell r="S62"/>
        </row>
        <row r="63">
          <cell r="G63">
            <v>0</v>
          </cell>
          <cell r="H63">
            <v>3</v>
          </cell>
          <cell r="I63"/>
          <cell r="J63"/>
          <cell r="K63"/>
          <cell r="L63"/>
          <cell r="M63"/>
          <cell r="N63"/>
          <cell r="O63"/>
          <cell r="P63"/>
          <cell r="Q63"/>
          <cell r="R63"/>
          <cell r="S63"/>
        </row>
        <row r="64">
          <cell r="G64">
            <v>12</v>
          </cell>
          <cell r="H64">
            <v>12</v>
          </cell>
          <cell r="I64"/>
          <cell r="J64"/>
          <cell r="K64"/>
          <cell r="L64"/>
          <cell r="M64"/>
          <cell r="N64"/>
          <cell r="O64"/>
          <cell r="P64"/>
          <cell r="Q64"/>
          <cell r="R64"/>
          <cell r="S64"/>
        </row>
        <row r="65">
          <cell r="G65">
            <v>0</v>
          </cell>
          <cell r="H65">
            <v>0.65</v>
          </cell>
          <cell r="I65"/>
          <cell r="J65"/>
          <cell r="K65"/>
          <cell r="L65"/>
          <cell r="M65"/>
          <cell r="N65"/>
          <cell r="O65"/>
          <cell r="P65"/>
          <cell r="Q65"/>
          <cell r="R65"/>
          <cell r="S65"/>
        </row>
        <row r="66">
          <cell r="G66">
            <v>0</v>
          </cell>
          <cell r="H66">
            <v>0.32</v>
          </cell>
          <cell r="I66"/>
          <cell r="J66"/>
          <cell r="K66"/>
          <cell r="L66"/>
          <cell r="M66"/>
          <cell r="N66"/>
          <cell r="O66"/>
          <cell r="P66"/>
          <cell r="Q66"/>
          <cell r="R66"/>
          <cell r="S66"/>
        </row>
        <row r="67">
          <cell r="G67">
            <v>0.5</v>
          </cell>
          <cell r="H67">
            <v>0.5</v>
          </cell>
          <cell r="I67"/>
          <cell r="J67"/>
          <cell r="K67"/>
          <cell r="L67"/>
          <cell r="M67"/>
          <cell r="N67"/>
          <cell r="O67"/>
          <cell r="P67"/>
          <cell r="Q67"/>
          <cell r="R67"/>
          <cell r="S67"/>
        </row>
        <row r="70">
          <cell r="G70">
            <v>24</v>
          </cell>
          <cell r="H70">
            <v>0</v>
          </cell>
          <cell r="I70"/>
          <cell r="J70"/>
          <cell r="K70"/>
          <cell r="L70"/>
          <cell r="M70"/>
          <cell r="N70"/>
          <cell r="O70"/>
          <cell r="P70"/>
          <cell r="Q70"/>
          <cell r="R70"/>
          <cell r="S70"/>
        </row>
        <row r="71">
          <cell r="G71">
            <v>24</v>
          </cell>
          <cell r="H71">
            <v>15</v>
          </cell>
          <cell r="I71"/>
          <cell r="J71"/>
          <cell r="K71"/>
          <cell r="L71"/>
          <cell r="M71"/>
          <cell r="N71"/>
          <cell r="O71"/>
          <cell r="P71"/>
          <cell r="Q71"/>
          <cell r="R71"/>
          <cell r="S71"/>
        </row>
        <row r="72">
          <cell r="G72">
            <v>19</v>
          </cell>
          <cell r="H72">
            <v>19</v>
          </cell>
          <cell r="I72"/>
          <cell r="J72"/>
          <cell r="K72"/>
          <cell r="L72"/>
          <cell r="M72"/>
          <cell r="N72"/>
          <cell r="O72"/>
          <cell r="P72"/>
          <cell r="Q72"/>
          <cell r="R72"/>
          <cell r="S72"/>
        </row>
        <row r="73">
          <cell r="G73">
            <v>2.99</v>
          </cell>
          <cell r="H73">
            <v>0</v>
          </cell>
          <cell r="I73"/>
          <cell r="J73"/>
          <cell r="K73"/>
          <cell r="L73"/>
          <cell r="M73"/>
          <cell r="N73"/>
          <cell r="O73"/>
          <cell r="P73"/>
          <cell r="Q73"/>
          <cell r="R73"/>
          <cell r="S73"/>
        </row>
        <row r="74">
          <cell r="G74">
            <v>2.99</v>
          </cell>
          <cell r="H74">
            <v>1.82</v>
          </cell>
          <cell r="I74"/>
          <cell r="J74"/>
          <cell r="K74"/>
          <cell r="L74"/>
          <cell r="M74"/>
          <cell r="N74"/>
          <cell r="O74"/>
          <cell r="P74"/>
          <cell r="Q74"/>
          <cell r="R74"/>
          <cell r="S74"/>
        </row>
        <row r="75">
          <cell r="G75">
            <v>1.1299999999999999</v>
          </cell>
          <cell r="H75">
            <v>1.1299999999999999</v>
          </cell>
          <cell r="I75"/>
          <cell r="J75"/>
          <cell r="K75"/>
          <cell r="L75"/>
          <cell r="M75"/>
          <cell r="N75"/>
          <cell r="O75"/>
          <cell r="P75"/>
          <cell r="Q75"/>
          <cell r="R75"/>
          <cell r="S75"/>
        </row>
        <row r="76">
          <cell r="G76">
            <v>7</v>
          </cell>
          <cell r="H76">
            <v>0</v>
          </cell>
          <cell r="I76"/>
          <cell r="J76"/>
          <cell r="K76"/>
          <cell r="L76"/>
          <cell r="M76"/>
          <cell r="N76"/>
          <cell r="O76"/>
          <cell r="P76"/>
          <cell r="Q76"/>
          <cell r="R76"/>
          <cell r="S76"/>
        </row>
        <row r="77">
          <cell r="G77">
            <v>7</v>
          </cell>
          <cell r="H77">
            <v>3</v>
          </cell>
          <cell r="I77"/>
          <cell r="J77"/>
          <cell r="K77"/>
          <cell r="L77"/>
          <cell r="M77"/>
          <cell r="N77"/>
          <cell r="O77"/>
          <cell r="P77"/>
          <cell r="Q77"/>
          <cell r="R77"/>
          <cell r="S77"/>
        </row>
        <row r="78">
          <cell r="G78">
            <v>19</v>
          </cell>
          <cell r="H78">
            <v>19</v>
          </cell>
          <cell r="I78"/>
          <cell r="J78"/>
          <cell r="K78"/>
          <cell r="L78"/>
          <cell r="M78"/>
          <cell r="N78"/>
          <cell r="O78"/>
          <cell r="P78"/>
          <cell r="Q78"/>
          <cell r="R78"/>
          <cell r="S78"/>
        </row>
        <row r="79">
          <cell r="G79">
            <v>2.2999999999999998</v>
          </cell>
          <cell r="H79">
            <v>0</v>
          </cell>
          <cell r="I79"/>
          <cell r="J79"/>
          <cell r="K79"/>
          <cell r="L79"/>
          <cell r="M79"/>
          <cell r="N79"/>
          <cell r="O79"/>
          <cell r="P79"/>
          <cell r="Q79"/>
          <cell r="R79"/>
          <cell r="S79"/>
        </row>
        <row r="80">
          <cell r="G80">
            <v>2.2999999999999998</v>
          </cell>
          <cell r="H80">
            <v>0.86</v>
          </cell>
          <cell r="I80"/>
          <cell r="J80"/>
          <cell r="K80"/>
          <cell r="L80"/>
          <cell r="M80"/>
          <cell r="N80"/>
          <cell r="O80"/>
          <cell r="P80"/>
          <cell r="Q80"/>
          <cell r="R80"/>
          <cell r="S80"/>
        </row>
        <row r="81">
          <cell r="G81">
            <v>1.1299999999999999</v>
          </cell>
          <cell r="H81">
            <v>1.1299999999999999</v>
          </cell>
          <cell r="I81"/>
          <cell r="J81"/>
          <cell r="K81"/>
          <cell r="L81"/>
          <cell r="M81"/>
          <cell r="N81"/>
          <cell r="O81"/>
          <cell r="P81"/>
          <cell r="Q81"/>
          <cell r="R81"/>
          <cell r="S81"/>
        </row>
        <row r="82">
          <cell r="G82">
            <v>6</v>
          </cell>
          <cell r="H82">
            <v>0</v>
          </cell>
          <cell r="I82"/>
          <cell r="J82"/>
          <cell r="K82"/>
          <cell r="L82"/>
          <cell r="M82"/>
          <cell r="N82"/>
          <cell r="O82"/>
          <cell r="P82"/>
          <cell r="Q82"/>
          <cell r="R82"/>
          <cell r="S82"/>
        </row>
        <row r="83">
          <cell r="G83">
            <v>6</v>
          </cell>
          <cell r="H83">
            <v>3</v>
          </cell>
          <cell r="I83"/>
          <cell r="J83"/>
          <cell r="K83"/>
          <cell r="L83"/>
          <cell r="M83"/>
          <cell r="N83"/>
          <cell r="O83"/>
          <cell r="P83"/>
          <cell r="Q83"/>
          <cell r="R83"/>
          <cell r="S83"/>
        </row>
        <row r="84">
          <cell r="G84">
            <v>19</v>
          </cell>
          <cell r="H84">
            <v>19</v>
          </cell>
          <cell r="I84"/>
          <cell r="J84"/>
          <cell r="K84"/>
          <cell r="L84"/>
          <cell r="M84"/>
          <cell r="N84"/>
          <cell r="O84"/>
          <cell r="P84"/>
          <cell r="Q84"/>
          <cell r="R84"/>
          <cell r="S84"/>
        </row>
        <row r="85">
          <cell r="G85">
            <v>1.29</v>
          </cell>
          <cell r="H85">
            <v>0</v>
          </cell>
          <cell r="I85"/>
          <cell r="J85"/>
          <cell r="K85"/>
          <cell r="L85"/>
          <cell r="M85"/>
          <cell r="N85"/>
          <cell r="O85"/>
          <cell r="P85"/>
          <cell r="Q85"/>
          <cell r="R85"/>
          <cell r="S85"/>
        </row>
        <row r="86">
          <cell r="G86">
            <v>1.29</v>
          </cell>
          <cell r="H86">
            <v>0.65</v>
          </cell>
          <cell r="I86"/>
          <cell r="J86"/>
          <cell r="K86"/>
          <cell r="L86"/>
          <cell r="M86"/>
          <cell r="N86"/>
          <cell r="O86"/>
          <cell r="P86"/>
          <cell r="Q86"/>
          <cell r="R86"/>
          <cell r="S86"/>
        </row>
        <row r="87">
          <cell r="G87">
            <v>1.1299999999999999</v>
          </cell>
          <cell r="H87">
            <v>1.1299999999999999</v>
          </cell>
          <cell r="I87"/>
          <cell r="J87"/>
          <cell r="K87"/>
          <cell r="L87"/>
          <cell r="M87"/>
          <cell r="N87"/>
          <cell r="O87"/>
          <cell r="P87"/>
          <cell r="Q87"/>
          <cell r="R87"/>
          <cell r="S87"/>
        </row>
        <row r="88">
          <cell r="G88">
            <v>15</v>
          </cell>
          <cell r="H88">
            <v>0</v>
          </cell>
          <cell r="I88"/>
          <cell r="J88"/>
          <cell r="K88"/>
          <cell r="L88"/>
          <cell r="M88"/>
          <cell r="N88"/>
          <cell r="O88"/>
          <cell r="P88"/>
          <cell r="Q88"/>
          <cell r="R88"/>
          <cell r="S88"/>
        </row>
        <row r="89">
          <cell r="G89">
            <v>15</v>
          </cell>
          <cell r="H89">
            <v>8</v>
          </cell>
          <cell r="I89"/>
          <cell r="J89"/>
          <cell r="K89"/>
          <cell r="L89"/>
          <cell r="M89"/>
          <cell r="N89"/>
          <cell r="O89"/>
          <cell r="P89"/>
          <cell r="Q89"/>
          <cell r="R89"/>
          <cell r="S89"/>
        </row>
        <row r="90">
          <cell r="G90">
            <v>19</v>
          </cell>
          <cell r="H90">
            <v>19</v>
          </cell>
          <cell r="I90"/>
          <cell r="J90"/>
          <cell r="K90"/>
          <cell r="L90"/>
          <cell r="M90"/>
          <cell r="N90"/>
          <cell r="O90"/>
          <cell r="P90"/>
          <cell r="Q90"/>
          <cell r="R90"/>
          <cell r="S90"/>
        </row>
        <row r="91">
          <cell r="G91">
            <v>1.93</v>
          </cell>
          <cell r="H91">
            <v>0</v>
          </cell>
          <cell r="I91"/>
          <cell r="J91"/>
          <cell r="K91"/>
          <cell r="L91"/>
          <cell r="M91"/>
          <cell r="N91"/>
          <cell r="O91"/>
          <cell r="P91"/>
          <cell r="Q91"/>
          <cell r="R91"/>
          <cell r="S91"/>
        </row>
        <row r="92">
          <cell r="G92">
            <v>1.93</v>
          </cell>
          <cell r="H92">
            <v>0.98</v>
          </cell>
          <cell r="I92"/>
          <cell r="J92"/>
          <cell r="K92"/>
          <cell r="L92"/>
          <cell r="M92"/>
          <cell r="N92"/>
          <cell r="O92"/>
          <cell r="P92"/>
          <cell r="Q92"/>
          <cell r="R92"/>
          <cell r="S92"/>
        </row>
        <row r="93">
          <cell r="G93">
            <v>1.1299999999999999</v>
          </cell>
          <cell r="H93">
            <v>1.1299999999999999</v>
          </cell>
          <cell r="I93"/>
          <cell r="J93"/>
          <cell r="K93"/>
          <cell r="L93"/>
          <cell r="M93"/>
          <cell r="N93"/>
          <cell r="O93"/>
          <cell r="P93"/>
          <cell r="Q93"/>
          <cell r="R93"/>
          <cell r="S93"/>
        </row>
        <row r="94">
          <cell r="G94">
            <v>0</v>
          </cell>
          <cell r="H94">
            <v>0</v>
          </cell>
          <cell r="I94"/>
          <cell r="J94"/>
          <cell r="K94"/>
          <cell r="L94"/>
          <cell r="M94"/>
          <cell r="N94"/>
          <cell r="O94"/>
          <cell r="P94"/>
          <cell r="Q94"/>
          <cell r="R94"/>
          <cell r="S94"/>
        </row>
        <row r="95">
          <cell r="G95">
            <v>0</v>
          </cell>
          <cell r="H95">
            <v>0</v>
          </cell>
          <cell r="I95"/>
          <cell r="J95"/>
          <cell r="K95"/>
          <cell r="L95"/>
          <cell r="M95"/>
          <cell r="N95"/>
          <cell r="O95"/>
          <cell r="P95"/>
          <cell r="Q95"/>
          <cell r="R95"/>
          <cell r="S95"/>
        </row>
        <row r="96">
          <cell r="G96">
            <v>19</v>
          </cell>
          <cell r="H96">
            <v>19</v>
          </cell>
          <cell r="I96"/>
          <cell r="J96"/>
          <cell r="K96"/>
          <cell r="L96"/>
          <cell r="M96"/>
          <cell r="N96"/>
          <cell r="O96"/>
          <cell r="P96"/>
          <cell r="Q96"/>
          <cell r="R96"/>
          <cell r="S96"/>
        </row>
        <row r="97">
          <cell r="G97">
            <v>0</v>
          </cell>
          <cell r="H97">
            <v>0</v>
          </cell>
          <cell r="I97"/>
          <cell r="J97"/>
          <cell r="K97"/>
          <cell r="L97"/>
          <cell r="M97"/>
          <cell r="N97"/>
          <cell r="O97"/>
          <cell r="P97"/>
          <cell r="Q97"/>
          <cell r="R97"/>
          <cell r="S97"/>
        </row>
        <row r="98">
          <cell r="G98">
            <v>0</v>
          </cell>
          <cell r="H98">
            <v>0</v>
          </cell>
          <cell r="I98"/>
          <cell r="J98"/>
          <cell r="K98"/>
          <cell r="L98"/>
          <cell r="M98"/>
          <cell r="N98"/>
          <cell r="O98"/>
          <cell r="P98"/>
          <cell r="Q98"/>
          <cell r="R98"/>
          <cell r="S98"/>
        </row>
        <row r="99">
          <cell r="G99">
            <v>1.1299999999999999</v>
          </cell>
          <cell r="H99">
            <v>1.1299999999999999</v>
          </cell>
          <cell r="I99"/>
          <cell r="J99"/>
          <cell r="K99"/>
          <cell r="L99"/>
          <cell r="M99"/>
          <cell r="N99"/>
          <cell r="O99"/>
          <cell r="P99"/>
          <cell r="Q99"/>
          <cell r="R99"/>
          <cell r="S99"/>
        </row>
        <row r="100">
          <cell r="G100">
            <v>0</v>
          </cell>
          <cell r="H100">
            <v>0</v>
          </cell>
          <cell r="I100"/>
          <cell r="J100"/>
          <cell r="K100"/>
          <cell r="L100"/>
          <cell r="M100"/>
          <cell r="N100"/>
          <cell r="O100"/>
          <cell r="P100"/>
          <cell r="Q100"/>
          <cell r="R100"/>
          <cell r="S100"/>
        </row>
        <row r="101">
          <cell r="G101">
            <v>0</v>
          </cell>
          <cell r="H101">
            <v>0</v>
          </cell>
          <cell r="I101"/>
          <cell r="J101"/>
          <cell r="K101"/>
          <cell r="L101"/>
          <cell r="M101"/>
          <cell r="N101"/>
          <cell r="O101"/>
          <cell r="P101"/>
          <cell r="Q101"/>
          <cell r="R101"/>
          <cell r="S101"/>
        </row>
        <row r="102">
          <cell r="G102">
            <v>19</v>
          </cell>
          <cell r="H102">
            <v>19</v>
          </cell>
          <cell r="I102"/>
          <cell r="J102"/>
          <cell r="K102"/>
          <cell r="L102"/>
          <cell r="M102"/>
          <cell r="N102"/>
          <cell r="O102"/>
          <cell r="P102"/>
          <cell r="Q102"/>
          <cell r="R102"/>
          <cell r="S102"/>
        </row>
        <row r="103">
          <cell r="G103">
            <v>0</v>
          </cell>
          <cell r="H103">
            <v>0</v>
          </cell>
          <cell r="I103"/>
          <cell r="J103"/>
          <cell r="K103"/>
          <cell r="L103"/>
          <cell r="M103"/>
          <cell r="N103"/>
          <cell r="O103"/>
          <cell r="P103"/>
          <cell r="Q103"/>
          <cell r="R103"/>
          <cell r="S103"/>
        </row>
        <row r="104">
          <cell r="G104">
            <v>0</v>
          </cell>
          <cell r="H104">
            <v>0</v>
          </cell>
          <cell r="I104"/>
          <cell r="J104"/>
          <cell r="K104"/>
          <cell r="L104"/>
          <cell r="M104"/>
          <cell r="N104"/>
          <cell r="O104"/>
          <cell r="P104"/>
          <cell r="Q104"/>
          <cell r="R104"/>
          <cell r="S104"/>
        </row>
        <row r="105">
          <cell r="G105">
            <v>1.1299999999999999</v>
          </cell>
          <cell r="H105">
            <v>1.1299999999999999</v>
          </cell>
          <cell r="I105"/>
          <cell r="J105"/>
          <cell r="K105"/>
          <cell r="L105"/>
          <cell r="M105"/>
          <cell r="N105"/>
          <cell r="O105"/>
          <cell r="P105"/>
          <cell r="Q105"/>
          <cell r="R105"/>
          <cell r="S105"/>
        </row>
        <row r="106">
          <cell r="G106">
            <v>0</v>
          </cell>
          <cell r="H106">
            <v>0</v>
          </cell>
          <cell r="I106"/>
          <cell r="J106"/>
          <cell r="K106"/>
          <cell r="L106"/>
          <cell r="M106"/>
          <cell r="N106"/>
          <cell r="O106"/>
          <cell r="P106"/>
          <cell r="Q106"/>
          <cell r="R106"/>
          <cell r="S106"/>
        </row>
        <row r="107">
          <cell r="G107">
            <v>0</v>
          </cell>
          <cell r="H107">
            <v>0</v>
          </cell>
          <cell r="I107"/>
          <cell r="J107"/>
          <cell r="K107"/>
          <cell r="L107"/>
          <cell r="M107"/>
          <cell r="N107"/>
          <cell r="O107"/>
          <cell r="P107"/>
          <cell r="Q107"/>
          <cell r="R107"/>
          <cell r="S107"/>
        </row>
        <row r="108">
          <cell r="G108">
            <v>19</v>
          </cell>
          <cell r="H108">
            <v>19</v>
          </cell>
          <cell r="I108"/>
          <cell r="J108"/>
          <cell r="K108"/>
          <cell r="L108"/>
          <cell r="M108"/>
          <cell r="N108"/>
          <cell r="O108"/>
          <cell r="P108"/>
          <cell r="Q108"/>
          <cell r="R108"/>
          <cell r="S108"/>
        </row>
        <row r="109">
          <cell r="G109">
            <v>0</v>
          </cell>
          <cell r="H109">
            <v>0</v>
          </cell>
          <cell r="I109"/>
          <cell r="J109"/>
          <cell r="K109"/>
          <cell r="L109"/>
          <cell r="M109"/>
          <cell r="N109"/>
          <cell r="O109"/>
          <cell r="P109"/>
          <cell r="Q109"/>
          <cell r="R109"/>
          <cell r="S109"/>
        </row>
        <row r="110">
          <cell r="G110">
            <v>0</v>
          </cell>
          <cell r="H110">
            <v>0</v>
          </cell>
          <cell r="I110"/>
          <cell r="J110"/>
          <cell r="K110"/>
          <cell r="L110"/>
          <cell r="M110"/>
          <cell r="N110"/>
          <cell r="O110"/>
          <cell r="P110"/>
          <cell r="Q110"/>
          <cell r="R110"/>
          <cell r="S110"/>
        </row>
        <row r="111">
          <cell r="G111">
            <v>1.1299999999999999</v>
          </cell>
          <cell r="H111">
            <v>1.1299999999999999</v>
          </cell>
          <cell r="I111"/>
          <cell r="J111"/>
          <cell r="K111"/>
          <cell r="L111"/>
          <cell r="M111"/>
          <cell r="N111"/>
          <cell r="O111"/>
          <cell r="P111"/>
          <cell r="Q111"/>
          <cell r="R111"/>
          <cell r="S111"/>
        </row>
        <row r="112">
          <cell r="G112">
            <v>0</v>
          </cell>
          <cell r="H112">
            <v>0</v>
          </cell>
          <cell r="I112"/>
          <cell r="J112"/>
          <cell r="K112"/>
          <cell r="L112"/>
          <cell r="M112"/>
          <cell r="N112"/>
          <cell r="O112"/>
          <cell r="P112"/>
          <cell r="Q112"/>
          <cell r="R112"/>
          <cell r="S112"/>
        </row>
        <row r="113">
          <cell r="G113">
            <v>0</v>
          </cell>
          <cell r="H113">
            <v>0</v>
          </cell>
          <cell r="I113"/>
          <cell r="J113"/>
          <cell r="K113"/>
          <cell r="L113"/>
          <cell r="M113"/>
          <cell r="N113"/>
          <cell r="O113"/>
          <cell r="P113"/>
          <cell r="Q113"/>
          <cell r="R113"/>
          <cell r="S113"/>
        </row>
        <row r="114">
          <cell r="G114">
            <v>19</v>
          </cell>
          <cell r="H114">
            <v>19</v>
          </cell>
          <cell r="I114"/>
          <cell r="J114"/>
          <cell r="K114"/>
          <cell r="L114"/>
          <cell r="M114"/>
          <cell r="N114"/>
          <cell r="O114"/>
          <cell r="P114"/>
          <cell r="Q114"/>
          <cell r="R114"/>
          <cell r="S114"/>
        </row>
        <row r="115">
          <cell r="G115">
            <v>0</v>
          </cell>
          <cell r="H115">
            <v>0</v>
          </cell>
          <cell r="I115"/>
          <cell r="J115"/>
          <cell r="K115"/>
          <cell r="L115"/>
          <cell r="M115"/>
          <cell r="N115"/>
          <cell r="O115"/>
          <cell r="P115"/>
          <cell r="Q115"/>
          <cell r="R115"/>
          <cell r="S115"/>
        </row>
        <row r="116">
          <cell r="G116">
            <v>0</v>
          </cell>
          <cell r="H116">
            <v>0</v>
          </cell>
          <cell r="I116"/>
          <cell r="J116"/>
          <cell r="K116"/>
          <cell r="L116"/>
          <cell r="M116"/>
          <cell r="N116"/>
          <cell r="O116"/>
          <cell r="P116"/>
          <cell r="Q116"/>
          <cell r="R116"/>
          <cell r="S116"/>
        </row>
        <row r="117">
          <cell r="G117">
            <v>1.1299999999999999</v>
          </cell>
          <cell r="H117">
            <v>1.1299999999999999</v>
          </cell>
          <cell r="I117"/>
          <cell r="J117"/>
          <cell r="K117"/>
          <cell r="L117"/>
          <cell r="M117"/>
          <cell r="N117"/>
          <cell r="O117"/>
          <cell r="P117"/>
          <cell r="Q117"/>
          <cell r="R117"/>
          <cell r="S117"/>
        </row>
        <row r="118">
          <cell r="G118">
            <v>0</v>
          </cell>
          <cell r="H118">
            <v>0</v>
          </cell>
          <cell r="I118"/>
          <cell r="J118"/>
          <cell r="K118"/>
          <cell r="L118"/>
          <cell r="M118"/>
          <cell r="N118"/>
          <cell r="O118"/>
          <cell r="P118"/>
          <cell r="Q118"/>
          <cell r="R118"/>
          <cell r="S118"/>
        </row>
        <row r="119">
          <cell r="G119">
            <v>0</v>
          </cell>
          <cell r="H119">
            <v>0</v>
          </cell>
          <cell r="I119"/>
          <cell r="J119"/>
          <cell r="K119"/>
          <cell r="L119"/>
          <cell r="M119"/>
          <cell r="N119"/>
          <cell r="O119"/>
          <cell r="P119"/>
          <cell r="Q119"/>
          <cell r="R119"/>
          <cell r="S119"/>
        </row>
        <row r="120">
          <cell r="G120">
            <v>19</v>
          </cell>
          <cell r="H120">
            <v>19</v>
          </cell>
          <cell r="I120"/>
          <cell r="J120"/>
          <cell r="K120"/>
          <cell r="L120"/>
          <cell r="M120"/>
          <cell r="N120"/>
          <cell r="O120"/>
          <cell r="P120"/>
          <cell r="Q120"/>
          <cell r="R120"/>
          <cell r="S120"/>
        </row>
        <row r="121">
          <cell r="G121">
            <v>0</v>
          </cell>
          <cell r="H121">
            <v>0</v>
          </cell>
          <cell r="I121"/>
          <cell r="J121"/>
          <cell r="K121"/>
          <cell r="L121"/>
          <cell r="M121"/>
          <cell r="N121"/>
          <cell r="O121"/>
          <cell r="P121"/>
          <cell r="Q121"/>
          <cell r="R121"/>
          <cell r="S121"/>
        </row>
        <row r="122">
          <cell r="G122">
            <v>0</v>
          </cell>
          <cell r="H122">
            <v>0</v>
          </cell>
          <cell r="I122"/>
          <cell r="J122"/>
          <cell r="K122"/>
          <cell r="L122"/>
          <cell r="M122"/>
          <cell r="N122"/>
          <cell r="O122"/>
          <cell r="P122"/>
          <cell r="Q122"/>
          <cell r="R122"/>
          <cell r="S122"/>
        </row>
        <row r="123">
          <cell r="G123">
            <v>1.1299999999999999</v>
          </cell>
          <cell r="H123">
            <v>1.1299999999999999</v>
          </cell>
          <cell r="I123"/>
          <cell r="J123"/>
          <cell r="K123"/>
          <cell r="L123"/>
          <cell r="M123"/>
          <cell r="N123"/>
          <cell r="O123"/>
          <cell r="P123"/>
          <cell r="Q123"/>
          <cell r="R123"/>
          <cell r="S123"/>
        </row>
        <row r="124">
          <cell r="G124">
            <v>0</v>
          </cell>
          <cell r="H124">
            <v>0</v>
          </cell>
          <cell r="I124"/>
          <cell r="J124"/>
          <cell r="K124"/>
          <cell r="L124"/>
          <cell r="M124"/>
          <cell r="N124"/>
          <cell r="O124"/>
          <cell r="P124"/>
          <cell r="Q124"/>
          <cell r="R124"/>
          <cell r="S124"/>
        </row>
        <row r="125">
          <cell r="G125">
            <v>0</v>
          </cell>
          <cell r="H125">
            <v>0</v>
          </cell>
          <cell r="I125"/>
          <cell r="J125"/>
          <cell r="K125"/>
          <cell r="L125"/>
          <cell r="M125"/>
          <cell r="N125"/>
          <cell r="O125"/>
          <cell r="P125"/>
          <cell r="Q125"/>
          <cell r="R125"/>
          <cell r="S125"/>
        </row>
        <row r="126">
          <cell r="G126">
            <v>19</v>
          </cell>
          <cell r="H126">
            <v>19</v>
          </cell>
          <cell r="I126"/>
          <cell r="J126"/>
          <cell r="K126"/>
          <cell r="L126"/>
          <cell r="M126"/>
          <cell r="N126"/>
          <cell r="O126"/>
          <cell r="P126"/>
          <cell r="Q126"/>
          <cell r="R126"/>
          <cell r="S126"/>
        </row>
        <row r="127">
          <cell r="G127">
            <v>0</v>
          </cell>
          <cell r="H127">
            <v>0</v>
          </cell>
          <cell r="I127"/>
          <cell r="J127"/>
          <cell r="K127"/>
          <cell r="L127"/>
          <cell r="M127"/>
          <cell r="N127"/>
          <cell r="O127"/>
          <cell r="P127"/>
          <cell r="Q127"/>
          <cell r="R127"/>
          <cell r="S127"/>
        </row>
        <row r="128">
          <cell r="G128">
            <v>0</v>
          </cell>
          <cell r="H128">
            <v>0</v>
          </cell>
          <cell r="I128"/>
          <cell r="J128"/>
          <cell r="K128"/>
          <cell r="L128"/>
          <cell r="M128"/>
          <cell r="N128"/>
          <cell r="O128"/>
          <cell r="P128"/>
          <cell r="Q128"/>
          <cell r="R128"/>
          <cell r="S128"/>
        </row>
        <row r="129">
          <cell r="G129">
            <v>1.1299999999999999</v>
          </cell>
          <cell r="H129">
            <v>1.1299999999999999</v>
          </cell>
          <cell r="I129"/>
          <cell r="J129"/>
          <cell r="K129"/>
          <cell r="L129"/>
          <cell r="M129"/>
          <cell r="N129"/>
          <cell r="O129"/>
          <cell r="P129"/>
          <cell r="Q129"/>
          <cell r="R129"/>
          <cell r="S129"/>
        </row>
        <row r="130">
          <cell r="G130">
            <v>7</v>
          </cell>
          <cell r="H130">
            <v>0</v>
          </cell>
          <cell r="I130"/>
          <cell r="J130"/>
          <cell r="K130"/>
          <cell r="L130"/>
          <cell r="M130"/>
          <cell r="N130"/>
          <cell r="O130"/>
          <cell r="P130"/>
          <cell r="Q130"/>
          <cell r="R130"/>
          <cell r="S130"/>
        </row>
        <row r="131">
          <cell r="G131">
            <v>7</v>
          </cell>
          <cell r="H131">
            <v>4</v>
          </cell>
          <cell r="I131"/>
          <cell r="J131"/>
          <cell r="K131"/>
          <cell r="L131"/>
          <cell r="M131"/>
          <cell r="N131"/>
          <cell r="O131"/>
          <cell r="P131"/>
          <cell r="Q131"/>
          <cell r="R131"/>
          <cell r="S131"/>
        </row>
        <row r="132">
          <cell r="G132">
            <v>19</v>
          </cell>
          <cell r="H132">
            <v>19</v>
          </cell>
          <cell r="I132"/>
          <cell r="J132"/>
          <cell r="K132"/>
          <cell r="L132"/>
          <cell r="M132"/>
          <cell r="N132"/>
          <cell r="O132"/>
          <cell r="P132"/>
          <cell r="Q132"/>
          <cell r="R132"/>
          <cell r="S132"/>
        </row>
        <row r="133">
          <cell r="G133">
            <v>1.17</v>
          </cell>
          <cell r="H133">
            <v>0</v>
          </cell>
          <cell r="I133"/>
          <cell r="J133"/>
          <cell r="K133"/>
          <cell r="L133"/>
          <cell r="M133"/>
          <cell r="N133"/>
          <cell r="O133"/>
          <cell r="P133"/>
          <cell r="Q133"/>
          <cell r="R133"/>
          <cell r="S133"/>
        </row>
        <row r="134">
          <cell r="G134">
            <v>1.17</v>
          </cell>
          <cell r="H134">
            <v>0.56999999999999995</v>
          </cell>
          <cell r="I134"/>
          <cell r="J134"/>
          <cell r="K134"/>
          <cell r="L134"/>
          <cell r="M134"/>
          <cell r="N134"/>
          <cell r="O134"/>
          <cell r="P134"/>
          <cell r="Q134"/>
          <cell r="R134"/>
          <cell r="S134"/>
        </row>
        <row r="135">
          <cell r="G135">
            <v>1.1299999999999999</v>
          </cell>
          <cell r="H135">
            <v>1.1299999999999999</v>
          </cell>
          <cell r="I135"/>
          <cell r="J135"/>
          <cell r="K135"/>
          <cell r="L135"/>
          <cell r="M135"/>
          <cell r="N135"/>
          <cell r="O135"/>
          <cell r="P135"/>
          <cell r="Q135"/>
          <cell r="R135"/>
          <cell r="S135"/>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cell r="J140"/>
          <cell r="K140"/>
          <cell r="L140"/>
          <cell r="M140"/>
          <cell r="N140"/>
          <cell r="O140"/>
          <cell r="P140"/>
          <cell r="Q140"/>
          <cell r="R140"/>
          <cell r="S140"/>
          <cell r="T140"/>
          <cell r="U140"/>
          <cell r="V140"/>
          <cell r="W140"/>
          <cell r="X140"/>
          <cell r="Y140"/>
          <cell r="Z140"/>
          <cell r="AA140"/>
          <cell r="AB140"/>
          <cell r="AF140">
            <v>2</v>
          </cell>
          <cell r="AG140">
            <v>2</v>
          </cell>
          <cell r="AH140">
            <v>2</v>
          </cell>
          <cell r="AI140">
            <v>2</v>
          </cell>
          <cell r="AJ140">
            <v>0</v>
          </cell>
          <cell r="AK140">
            <v>0</v>
          </cell>
          <cell r="AL140"/>
          <cell r="AM140"/>
          <cell r="AN140"/>
          <cell r="AO140"/>
          <cell r="AP140"/>
          <cell r="AQ140"/>
          <cell r="AR140"/>
          <cell r="AS140"/>
          <cell r="AT140"/>
          <cell r="AU140"/>
          <cell r="AV140"/>
          <cell r="AW140"/>
          <cell r="AX140"/>
          <cell r="AY140"/>
          <cell r="AZ140"/>
          <cell r="BA140"/>
          <cell r="BB140"/>
          <cell r="BC140"/>
          <cell r="BD140"/>
          <cell r="BE140"/>
        </row>
        <row r="141">
          <cell r="C141">
            <v>5</v>
          </cell>
          <cell r="D141">
            <v>5</v>
          </cell>
          <cell r="E141">
            <v>2</v>
          </cell>
          <cell r="F141">
            <v>3</v>
          </cell>
          <cell r="G141">
            <v>3</v>
          </cell>
          <cell r="H141">
            <v>2</v>
          </cell>
          <cell r="I141"/>
          <cell r="J141"/>
          <cell r="K141"/>
          <cell r="L141"/>
          <cell r="M141"/>
          <cell r="N141"/>
          <cell r="O141"/>
          <cell r="P141"/>
          <cell r="Q141"/>
          <cell r="R141"/>
          <cell r="S141"/>
          <cell r="T141"/>
          <cell r="U141"/>
          <cell r="V141"/>
          <cell r="W141"/>
          <cell r="X141"/>
          <cell r="Y141"/>
          <cell r="Z141"/>
          <cell r="AA141"/>
          <cell r="AB141"/>
          <cell r="AF141">
            <v>0</v>
          </cell>
          <cell r="AG141">
            <v>2</v>
          </cell>
          <cell r="AH141">
            <v>0</v>
          </cell>
          <cell r="AI141">
            <v>0</v>
          </cell>
          <cell r="AJ141">
            <v>0</v>
          </cell>
          <cell r="AK141">
            <v>2</v>
          </cell>
          <cell r="AL141"/>
          <cell r="AM141"/>
          <cell r="AN141"/>
          <cell r="AO141"/>
          <cell r="AP141"/>
          <cell r="AQ141"/>
          <cell r="AR141"/>
          <cell r="AS141"/>
          <cell r="AT141"/>
          <cell r="AU141"/>
          <cell r="AV141"/>
          <cell r="AW141"/>
          <cell r="AX141"/>
          <cell r="AY141"/>
          <cell r="AZ141"/>
          <cell r="BA141"/>
          <cell r="BB141"/>
          <cell r="BC141"/>
          <cell r="BD141"/>
          <cell r="BE141"/>
        </row>
        <row r="142">
          <cell r="C142">
            <v>0</v>
          </cell>
          <cell r="D142">
            <v>0</v>
          </cell>
          <cell r="E142">
            <v>0</v>
          </cell>
          <cell r="F142">
            <v>0</v>
          </cell>
          <cell r="G142">
            <v>0</v>
          </cell>
          <cell r="H142">
            <v>0</v>
          </cell>
          <cell r="I142"/>
          <cell r="J142"/>
          <cell r="K142"/>
          <cell r="L142"/>
          <cell r="M142"/>
          <cell r="N142"/>
          <cell r="O142"/>
          <cell r="P142"/>
          <cell r="Q142"/>
          <cell r="R142"/>
          <cell r="S142"/>
          <cell r="T142"/>
          <cell r="U142"/>
          <cell r="V142"/>
          <cell r="W142"/>
          <cell r="X142"/>
          <cell r="Y142"/>
          <cell r="Z142"/>
          <cell r="AA142"/>
          <cell r="AB142"/>
          <cell r="AF142">
            <v>0</v>
          </cell>
          <cell r="AG142">
            <v>0</v>
          </cell>
          <cell r="AH142">
            <v>0</v>
          </cell>
          <cell r="AI142">
            <v>0</v>
          </cell>
          <cell r="AJ142">
            <v>0</v>
          </cell>
          <cell r="AK142">
            <v>0</v>
          </cell>
          <cell r="AL142"/>
          <cell r="AM142"/>
          <cell r="AN142"/>
          <cell r="AO142"/>
          <cell r="AP142"/>
          <cell r="AQ142"/>
          <cell r="AR142"/>
          <cell r="AS142"/>
          <cell r="AT142"/>
          <cell r="AU142"/>
          <cell r="AV142"/>
          <cell r="AW142"/>
          <cell r="AX142"/>
          <cell r="AY142"/>
          <cell r="AZ142"/>
          <cell r="BA142"/>
          <cell r="BB142"/>
          <cell r="BC142"/>
          <cell r="BD142"/>
          <cell r="BE142"/>
        </row>
        <row r="143">
          <cell r="C143">
            <v>0</v>
          </cell>
          <cell r="D143">
            <v>0</v>
          </cell>
          <cell r="E143">
            <v>0</v>
          </cell>
          <cell r="F143">
            <v>0</v>
          </cell>
          <cell r="G143">
            <v>0</v>
          </cell>
          <cell r="H143">
            <v>0</v>
          </cell>
          <cell r="I143"/>
          <cell r="J143"/>
          <cell r="K143"/>
          <cell r="L143"/>
          <cell r="M143"/>
          <cell r="N143"/>
          <cell r="O143"/>
          <cell r="P143"/>
          <cell r="Q143"/>
          <cell r="R143"/>
          <cell r="S143"/>
          <cell r="T143"/>
          <cell r="U143"/>
          <cell r="V143"/>
          <cell r="W143"/>
          <cell r="X143"/>
          <cell r="Y143"/>
          <cell r="Z143"/>
          <cell r="AA143"/>
          <cell r="AB143"/>
          <cell r="AF143">
            <v>12</v>
          </cell>
          <cell r="AG143">
            <v>16</v>
          </cell>
          <cell r="AH143">
            <v>12</v>
          </cell>
          <cell r="AI143">
            <v>16</v>
          </cell>
          <cell r="AJ143">
            <v>0</v>
          </cell>
          <cell r="AK143">
            <v>0</v>
          </cell>
          <cell r="AL143"/>
          <cell r="AM143"/>
          <cell r="AN143"/>
          <cell r="AO143"/>
          <cell r="AP143"/>
          <cell r="AQ143"/>
          <cell r="AR143"/>
          <cell r="AS143"/>
          <cell r="AT143"/>
          <cell r="AU143"/>
          <cell r="AV143"/>
          <cell r="AW143"/>
          <cell r="AX143"/>
          <cell r="AY143"/>
          <cell r="AZ143"/>
          <cell r="BA143"/>
          <cell r="BB143"/>
          <cell r="BC143"/>
          <cell r="BD143"/>
          <cell r="BE143"/>
        </row>
        <row r="144">
          <cell r="C144">
            <v>2</v>
          </cell>
          <cell r="D144">
            <v>2</v>
          </cell>
          <cell r="E144">
            <v>1</v>
          </cell>
          <cell r="F144">
            <v>0</v>
          </cell>
          <cell r="G144">
            <v>1</v>
          </cell>
          <cell r="H144">
            <v>2</v>
          </cell>
          <cell r="I144"/>
          <cell r="J144"/>
          <cell r="K144"/>
          <cell r="L144"/>
          <cell r="M144"/>
          <cell r="N144"/>
          <cell r="O144"/>
          <cell r="P144"/>
          <cell r="Q144"/>
          <cell r="R144"/>
          <cell r="S144"/>
          <cell r="T144"/>
          <cell r="U144"/>
          <cell r="V144"/>
          <cell r="W144"/>
          <cell r="X144"/>
          <cell r="Y144"/>
          <cell r="Z144"/>
          <cell r="AA144"/>
          <cell r="AB144"/>
          <cell r="AF144">
            <v>2</v>
          </cell>
          <cell r="AG144">
            <v>1</v>
          </cell>
          <cell r="AH144">
            <v>1</v>
          </cell>
          <cell r="AI144">
            <v>1</v>
          </cell>
          <cell r="AJ144">
            <v>1</v>
          </cell>
          <cell r="AK144">
            <v>0</v>
          </cell>
          <cell r="AL144"/>
          <cell r="AM144"/>
          <cell r="AN144"/>
          <cell r="AO144"/>
          <cell r="AP144"/>
          <cell r="AQ144"/>
          <cell r="AR144"/>
          <cell r="AS144"/>
          <cell r="AT144"/>
          <cell r="AU144"/>
          <cell r="AV144"/>
          <cell r="AW144"/>
          <cell r="AX144"/>
          <cell r="AY144"/>
          <cell r="AZ144"/>
          <cell r="BA144"/>
          <cell r="BB144"/>
          <cell r="BC144"/>
          <cell r="BD144"/>
          <cell r="BE144"/>
        </row>
        <row r="145">
          <cell r="C145">
            <v>3</v>
          </cell>
          <cell r="D145">
            <v>2</v>
          </cell>
          <cell r="E145">
            <v>2</v>
          </cell>
          <cell r="F145">
            <v>0</v>
          </cell>
          <cell r="G145">
            <v>1</v>
          </cell>
          <cell r="H145">
            <v>2</v>
          </cell>
          <cell r="I145"/>
          <cell r="J145"/>
          <cell r="K145"/>
          <cell r="L145"/>
          <cell r="M145"/>
          <cell r="N145"/>
          <cell r="O145"/>
          <cell r="P145"/>
          <cell r="Q145"/>
          <cell r="R145"/>
          <cell r="S145"/>
          <cell r="T145"/>
          <cell r="U145"/>
          <cell r="V145"/>
          <cell r="W145"/>
          <cell r="X145"/>
          <cell r="Y145"/>
          <cell r="Z145"/>
          <cell r="AA145"/>
          <cell r="AB145"/>
          <cell r="AF145">
            <v>2</v>
          </cell>
          <cell r="AG145">
            <v>7</v>
          </cell>
          <cell r="AH145">
            <v>1</v>
          </cell>
          <cell r="AI145">
            <v>0</v>
          </cell>
          <cell r="AJ145">
            <v>1</v>
          </cell>
          <cell r="AK145">
            <v>7</v>
          </cell>
          <cell r="AL145"/>
          <cell r="AM145"/>
          <cell r="AN145"/>
          <cell r="AO145"/>
          <cell r="AP145"/>
          <cell r="AQ145"/>
          <cell r="AR145"/>
          <cell r="AS145"/>
          <cell r="AT145"/>
          <cell r="AU145"/>
          <cell r="AV145"/>
          <cell r="AW145"/>
          <cell r="AX145"/>
          <cell r="AY145"/>
          <cell r="AZ145"/>
          <cell r="BA145"/>
          <cell r="BB145"/>
          <cell r="BC145"/>
          <cell r="BD145"/>
          <cell r="BE145"/>
        </row>
        <row r="146">
          <cell r="C146">
            <v>0</v>
          </cell>
          <cell r="D146">
            <v>0</v>
          </cell>
          <cell r="E146">
            <v>0</v>
          </cell>
          <cell r="F146">
            <v>0</v>
          </cell>
          <cell r="G146">
            <v>0</v>
          </cell>
          <cell r="H146">
            <v>0</v>
          </cell>
          <cell r="I146"/>
          <cell r="J146"/>
          <cell r="K146"/>
          <cell r="L146"/>
          <cell r="M146"/>
          <cell r="N146"/>
          <cell r="O146"/>
          <cell r="P146"/>
          <cell r="Q146"/>
          <cell r="R146"/>
          <cell r="S146"/>
          <cell r="T146"/>
          <cell r="U146"/>
          <cell r="V146"/>
          <cell r="W146"/>
          <cell r="X146"/>
          <cell r="Y146"/>
          <cell r="Z146"/>
          <cell r="AA146"/>
          <cell r="AB146"/>
          <cell r="AF146">
            <v>0</v>
          </cell>
          <cell r="AG146">
            <v>0</v>
          </cell>
          <cell r="AH146">
            <v>0</v>
          </cell>
          <cell r="AI146">
            <v>0</v>
          </cell>
          <cell r="AJ146">
            <v>0</v>
          </cell>
          <cell r="AK146">
            <v>0</v>
          </cell>
          <cell r="AL146"/>
          <cell r="AM146"/>
          <cell r="AN146"/>
          <cell r="AO146"/>
          <cell r="AP146"/>
          <cell r="AQ146"/>
          <cell r="AR146"/>
          <cell r="AS146"/>
          <cell r="AT146"/>
          <cell r="AU146"/>
          <cell r="AV146"/>
          <cell r="AW146"/>
          <cell r="AX146"/>
          <cell r="AY146"/>
          <cell r="AZ146"/>
          <cell r="BA146"/>
          <cell r="BB146"/>
          <cell r="BC146"/>
          <cell r="BD146"/>
          <cell r="BE146"/>
        </row>
        <row r="147">
          <cell r="C147">
            <v>182</v>
          </cell>
          <cell r="D147">
            <v>17</v>
          </cell>
          <cell r="E147">
            <v>2</v>
          </cell>
          <cell r="F147">
            <v>0</v>
          </cell>
          <cell r="G147">
            <v>180</v>
          </cell>
          <cell r="H147">
            <v>17</v>
          </cell>
          <cell r="I147"/>
          <cell r="J147"/>
          <cell r="K147"/>
          <cell r="L147"/>
          <cell r="M147"/>
          <cell r="N147"/>
          <cell r="O147"/>
          <cell r="P147"/>
          <cell r="Q147"/>
          <cell r="R147"/>
          <cell r="S147"/>
          <cell r="T147"/>
          <cell r="U147"/>
          <cell r="V147"/>
          <cell r="W147"/>
          <cell r="X147"/>
          <cell r="Y147"/>
          <cell r="Z147"/>
          <cell r="AA147"/>
          <cell r="AB147"/>
          <cell r="AF147">
            <v>10</v>
          </cell>
          <cell r="AG147">
            <v>3</v>
          </cell>
          <cell r="AH147">
            <v>5</v>
          </cell>
          <cell r="AI147">
            <v>3</v>
          </cell>
          <cell r="AJ147">
            <v>5</v>
          </cell>
          <cell r="AK147">
            <v>0</v>
          </cell>
          <cell r="AL147"/>
          <cell r="AM147"/>
          <cell r="AN147"/>
          <cell r="AO147"/>
          <cell r="AP147"/>
          <cell r="AQ147"/>
          <cell r="AR147"/>
          <cell r="AS147"/>
          <cell r="AT147"/>
          <cell r="AU147"/>
          <cell r="AV147"/>
          <cell r="AW147"/>
          <cell r="AX147"/>
          <cell r="AY147"/>
          <cell r="AZ147"/>
          <cell r="BA147"/>
          <cell r="BB147"/>
          <cell r="BC147"/>
          <cell r="BD147"/>
          <cell r="BE147"/>
        </row>
        <row r="148">
          <cell r="C148">
            <v>1</v>
          </cell>
          <cell r="D148">
            <v>0</v>
          </cell>
          <cell r="E148">
            <v>1</v>
          </cell>
          <cell r="F148">
            <v>0</v>
          </cell>
          <cell r="G148">
            <v>0</v>
          </cell>
          <cell r="H148">
            <v>0</v>
          </cell>
          <cell r="I148"/>
          <cell r="J148"/>
          <cell r="K148"/>
          <cell r="L148"/>
          <cell r="M148"/>
          <cell r="N148"/>
          <cell r="O148"/>
          <cell r="P148"/>
          <cell r="Q148"/>
          <cell r="R148"/>
          <cell r="S148"/>
          <cell r="T148"/>
          <cell r="U148"/>
          <cell r="V148"/>
          <cell r="W148"/>
          <cell r="X148"/>
          <cell r="Y148"/>
          <cell r="Z148"/>
          <cell r="AA148"/>
          <cell r="AB148"/>
          <cell r="AF148">
            <v>8</v>
          </cell>
          <cell r="AG148">
            <v>1</v>
          </cell>
          <cell r="AH148">
            <v>3</v>
          </cell>
          <cell r="AI148">
            <v>1</v>
          </cell>
          <cell r="AJ148">
            <v>5</v>
          </cell>
          <cell r="AK148">
            <v>0</v>
          </cell>
          <cell r="AL148"/>
          <cell r="AM148"/>
          <cell r="AN148"/>
          <cell r="AO148"/>
          <cell r="AP148"/>
          <cell r="AQ148"/>
          <cell r="AR148"/>
          <cell r="AS148"/>
          <cell r="AT148"/>
          <cell r="AU148"/>
          <cell r="AV148"/>
          <cell r="AW148"/>
          <cell r="AX148"/>
          <cell r="AY148"/>
          <cell r="AZ148"/>
          <cell r="BA148"/>
          <cell r="BB148"/>
          <cell r="BC148"/>
          <cell r="BD148"/>
          <cell r="BE148"/>
        </row>
        <row r="149">
          <cell r="C149">
            <v>4</v>
          </cell>
          <cell r="D149">
            <v>4</v>
          </cell>
          <cell r="E149">
            <v>1</v>
          </cell>
          <cell r="F149">
            <v>2</v>
          </cell>
          <cell r="G149">
            <v>3</v>
          </cell>
          <cell r="H149">
            <v>2</v>
          </cell>
          <cell r="I149"/>
          <cell r="J149"/>
          <cell r="K149"/>
          <cell r="L149"/>
          <cell r="M149"/>
          <cell r="N149"/>
          <cell r="O149"/>
          <cell r="P149"/>
          <cell r="Q149"/>
          <cell r="R149"/>
          <cell r="S149"/>
          <cell r="T149"/>
          <cell r="U149"/>
          <cell r="V149"/>
          <cell r="W149"/>
          <cell r="X149"/>
          <cell r="Y149"/>
          <cell r="Z149"/>
          <cell r="AA149"/>
          <cell r="AB149"/>
          <cell r="AF149">
            <v>5</v>
          </cell>
          <cell r="AG149">
            <v>3</v>
          </cell>
          <cell r="AH149">
            <v>4</v>
          </cell>
          <cell r="AI149">
            <v>2</v>
          </cell>
          <cell r="AJ149">
            <v>1</v>
          </cell>
          <cell r="AK149">
            <v>1</v>
          </cell>
          <cell r="AL149"/>
          <cell r="AM149"/>
          <cell r="AN149"/>
          <cell r="AO149"/>
          <cell r="AP149"/>
          <cell r="AQ149"/>
          <cell r="AR149"/>
          <cell r="AS149"/>
          <cell r="AT149"/>
          <cell r="AU149"/>
          <cell r="AV149"/>
          <cell r="AW149"/>
          <cell r="AX149"/>
          <cell r="AY149"/>
          <cell r="AZ149"/>
          <cell r="BA149"/>
          <cell r="BB149"/>
          <cell r="BC149"/>
          <cell r="BD149"/>
          <cell r="BE149"/>
        </row>
        <row r="150">
          <cell r="C150">
            <v>0</v>
          </cell>
          <cell r="D150">
            <v>0</v>
          </cell>
          <cell r="E150">
            <v>0</v>
          </cell>
          <cell r="F150">
            <v>0</v>
          </cell>
          <cell r="G150">
            <v>0</v>
          </cell>
          <cell r="H150">
            <v>0</v>
          </cell>
          <cell r="I150"/>
          <cell r="J150"/>
          <cell r="K150"/>
          <cell r="L150"/>
          <cell r="M150"/>
          <cell r="N150"/>
          <cell r="O150"/>
          <cell r="P150"/>
          <cell r="Q150"/>
          <cell r="R150"/>
          <cell r="S150"/>
          <cell r="T150"/>
          <cell r="U150"/>
          <cell r="V150"/>
          <cell r="W150"/>
          <cell r="X150"/>
          <cell r="Y150"/>
          <cell r="Z150"/>
          <cell r="AA150"/>
          <cell r="AB150"/>
          <cell r="AF150">
            <v>0</v>
          </cell>
          <cell r="AG150">
            <v>0</v>
          </cell>
          <cell r="AH150">
            <v>0</v>
          </cell>
          <cell r="AI150">
            <v>0</v>
          </cell>
          <cell r="AJ150">
            <v>0</v>
          </cell>
          <cell r="AK150">
            <v>0</v>
          </cell>
          <cell r="AL150"/>
          <cell r="AM150"/>
          <cell r="AN150"/>
          <cell r="AO150"/>
          <cell r="AP150"/>
          <cell r="AQ150"/>
          <cell r="AR150"/>
          <cell r="AS150"/>
          <cell r="AT150"/>
          <cell r="AU150"/>
          <cell r="AV150"/>
          <cell r="AW150"/>
          <cell r="AX150"/>
          <cell r="AY150"/>
          <cell r="AZ150"/>
          <cell r="BA150"/>
          <cell r="BB150"/>
          <cell r="BC150"/>
          <cell r="BD150"/>
          <cell r="BE150"/>
        </row>
        <row r="151">
          <cell r="C151">
            <v>71</v>
          </cell>
          <cell r="D151">
            <v>0</v>
          </cell>
          <cell r="E151">
            <v>71</v>
          </cell>
          <cell r="F151">
            <v>0</v>
          </cell>
          <cell r="G151">
            <v>0</v>
          </cell>
          <cell r="H151">
            <v>0</v>
          </cell>
          <cell r="I151"/>
          <cell r="J151"/>
          <cell r="K151"/>
          <cell r="L151"/>
          <cell r="M151"/>
          <cell r="N151"/>
          <cell r="O151"/>
          <cell r="P151"/>
          <cell r="Q151"/>
          <cell r="R151"/>
          <cell r="S151"/>
          <cell r="T151"/>
          <cell r="U151"/>
          <cell r="V151"/>
          <cell r="W151"/>
          <cell r="X151"/>
          <cell r="Y151"/>
          <cell r="Z151"/>
          <cell r="AA151"/>
          <cell r="AB151"/>
          <cell r="AF151">
            <v>64</v>
          </cell>
          <cell r="AG151">
            <v>5</v>
          </cell>
          <cell r="AH151">
            <v>29</v>
          </cell>
          <cell r="AI151">
            <v>5</v>
          </cell>
          <cell r="AJ151">
            <v>35</v>
          </cell>
          <cell r="AK151">
            <v>0</v>
          </cell>
          <cell r="AL151"/>
          <cell r="AM151"/>
          <cell r="AN151"/>
          <cell r="AO151"/>
          <cell r="AP151"/>
          <cell r="AQ151"/>
          <cell r="AR151"/>
          <cell r="AS151"/>
          <cell r="AT151"/>
          <cell r="AU151"/>
          <cell r="AV151"/>
          <cell r="AW151"/>
          <cell r="AX151"/>
          <cell r="AY151"/>
          <cell r="AZ151"/>
          <cell r="BA151"/>
          <cell r="BB151"/>
          <cell r="BC151"/>
          <cell r="BD151"/>
          <cell r="BE151"/>
        </row>
        <row r="152">
          <cell r="C152">
            <v>1</v>
          </cell>
          <cell r="D152">
            <v>0</v>
          </cell>
          <cell r="E152">
            <v>1</v>
          </cell>
          <cell r="F152">
            <v>0</v>
          </cell>
          <cell r="G152">
            <v>0</v>
          </cell>
          <cell r="H152">
            <v>0</v>
          </cell>
          <cell r="I152"/>
          <cell r="J152"/>
          <cell r="K152"/>
          <cell r="L152"/>
          <cell r="M152"/>
          <cell r="N152"/>
          <cell r="O152"/>
          <cell r="P152"/>
          <cell r="Q152"/>
          <cell r="R152"/>
          <cell r="S152"/>
          <cell r="T152"/>
          <cell r="U152"/>
          <cell r="V152"/>
          <cell r="W152"/>
          <cell r="X152"/>
          <cell r="Y152"/>
          <cell r="Z152"/>
          <cell r="AA152"/>
          <cell r="AB152"/>
          <cell r="AF152">
            <v>1</v>
          </cell>
          <cell r="AG152">
            <v>1</v>
          </cell>
          <cell r="AH152">
            <v>1</v>
          </cell>
          <cell r="AI152">
            <v>1</v>
          </cell>
          <cell r="AJ152">
            <v>0</v>
          </cell>
          <cell r="AK152">
            <v>0</v>
          </cell>
          <cell r="AL152"/>
          <cell r="AM152"/>
          <cell r="AN152"/>
          <cell r="AO152"/>
          <cell r="AP152"/>
          <cell r="AQ152"/>
          <cell r="AR152"/>
          <cell r="AS152"/>
          <cell r="AT152"/>
          <cell r="AU152"/>
          <cell r="AV152"/>
          <cell r="AW152"/>
          <cell r="AX152"/>
          <cell r="AY152"/>
          <cell r="AZ152"/>
          <cell r="BA152"/>
          <cell r="BB152"/>
          <cell r="BC152"/>
          <cell r="BD152"/>
          <cell r="BE152"/>
        </row>
        <row r="153">
          <cell r="C153">
            <v>4</v>
          </cell>
          <cell r="D153">
            <v>2</v>
          </cell>
          <cell r="E153">
            <v>3</v>
          </cell>
          <cell r="F153">
            <v>1</v>
          </cell>
          <cell r="G153">
            <v>1</v>
          </cell>
          <cell r="H153">
            <v>1</v>
          </cell>
          <cell r="I153"/>
          <cell r="J153"/>
          <cell r="K153"/>
          <cell r="L153"/>
          <cell r="M153"/>
          <cell r="N153"/>
          <cell r="O153"/>
          <cell r="P153"/>
          <cell r="Q153"/>
          <cell r="R153"/>
          <cell r="S153"/>
          <cell r="T153"/>
          <cell r="U153"/>
          <cell r="V153"/>
          <cell r="W153"/>
          <cell r="X153"/>
          <cell r="Y153"/>
          <cell r="Z153"/>
          <cell r="AA153"/>
          <cell r="AB153"/>
          <cell r="AF153">
            <v>3</v>
          </cell>
          <cell r="AG153">
            <v>1</v>
          </cell>
          <cell r="AH153">
            <v>1</v>
          </cell>
          <cell r="AI153">
            <v>1</v>
          </cell>
          <cell r="AJ153">
            <v>2</v>
          </cell>
          <cell r="AK153">
            <v>0</v>
          </cell>
          <cell r="AL153"/>
          <cell r="AM153"/>
          <cell r="AN153"/>
          <cell r="AO153"/>
          <cell r="AP153"/>
          <cell r="AQ153"/>
          <cell r="AR153"/>
          <cell r="AS153"/>
          <cell r="AT153"/>
          <cell r="AU153"/>
          <cell r="AV153"/>
          <cell r="AW153"/>
          <cell r="AX153"/>
          <cell r="AY153"/>
          <cell r="AZ153"/>
          <cell r="BA153"/>
          <cell r="BB153"/>
          <cell r="BC153"/>
          <cell r="BD153"/>
          <cell r="BE153"/>
        </row>
        <row r="154">
          <cell r="C154">
            <v>0</v>
          </cell>
          <cell r="D154">
            <v>0</v>
          </cell>
          <cell r="E154">
            <v>0</v>
          </cell>
          <cell r="F154">
            <v>0</v>
          </cell>
          <cell r="G154">
            <v>0</v>
          </cell>
          <cell r="H154">
            <v>0</v>
          </cell>
          <cell r="I154"/>
          <cell r="J154"/>
          <cell r="K154"/>
          <cell r="L154"/>
          <cell r="M154"/>
          <cell r="N154"/>
          <cell r="O154"/>
          <cell r="P154"/>
          <cell r="Q154"/>
          <cell r="R154"/>
          <cell r="S154"/>
          <cell r="T154"/>
          <cell r="U154"/>
          <cell r="V154"/>
          <cell r="W154"/>
          <cell r="X154"/>
          <cell r="Y154"/>
          <cell r="Z154"/>
          <cell r="AA154"/>
          <cell r="AB154"/>
          <cell r="AF154">
            <v>0</v>
          </cell>
          <cell r="AG154">
            <v>0</v>
          </cell>
          <cell r="AH154">
            <v>0</v>
          </cell>
          <cell r="AI154">
            <v>0</v>
          </cell>
          <cell r="AJ154">
            <v>0</v>
          </cell>
          <cell r="AK154">
            <v>0</v>
          </cell>
          <cell r="AL154"/>
          <cell r="AM154"/>
          <cell r="AN154"/>
          <cell r="AO154"/>
          <cell r="AP154"/>
          <cell r="AQ154"/>
          <cell r="AR154"/>
          <cell r="AS154"/>
          <cell r="AT154"/>
          <cell r="AU154"/>
          <cell r="AV154"/>
          <cell r="AW154"/>
          <cell r="AX154"/>
          <cell r="AY154"/>
          <cell r="AZ154"/>
          <cell r="BA154"/>
          <cell r="BB154"/>
          <cell r="BC154"/>
          <cell r="BD154"/>
          <cell r="BE154"/>
        </row>
        <row r="155">
          <cell r="C155">
            <v>5</v>
          </cell>
          <cell r="D155">
            <v>0</v>
          </cell>
          <cell r="E155">
            <v>5</v>
          </cell>
          <cell r="F155">
            <v>0</v>
          </cell>
          <cell r="G155">
            <v>0</v>
          </cell>
          <cell r="H155">
            <v>0</v>
          </cell>
          <cell r="I155"/>
          <cell r="J155"/>
          <cell r="K155"/>
          <cell r="L155"/>
          <cell r="M155"/>
          <cell r="N155"/>
          <cell r="O155"/>
          <cell r="P155"/>
          <cell r="Q155"/>
          <cell r="R155"/>
          <cell r="S155"/>
          <cell r="T155"/>
          <cell r="U155"/>
          <cell r="V155"/>
          <cell r="W155"/>
          <cell r="X155"/>
          <cell r="Y155"/>
          <cell r="Z155"/>
          <cell r="AA155"/>
          <cell r="AB155"/>
          <cell r="AF155">
            <v>6</v>
          </cell>
          <cell r="AG155">
            <v>8</v>
          </cell>
          <cell r="AH155">
            <v>6</v>
          </cell>
          <cell r="AI155">
            <v>8</v>
          </cell>
          <cell r="AJ155">
            <v>0</v>
          </cell>
          <cell r="AK155">
            <v>0</v>
          </cell>
          <cell r="AL155"/>
          <cell r="AM155"/>
          <cell r="AN155"/>
          <cell r="AO155"/>
          <cell r="AP155"/>
          <cell r="AQ155"/>
          <cell r="AR155"/>
          <cell r="AS155"/>
          <cell r="AT155"/>
          <cell r="AU155"/>
          <cell r="AV155"/>
          <cell r="AW155"/>
          <cell r="AX155"/>
          <cell r="AY155"/>
          <cell r="AZ155"/>
          <cell r="BA155"/>
          <cell r="BB155"/>
          <cell r="BC155"/>
          <cell r="BD155"/>
          <cell r="BE155"/>
        </row>
        <row r="156">
          <cell r="C156">
            <v>0</v>
          </cell>
          <cell r="D156">
            <v>0</v>
          </cell>
          <cell r="E156">
            <v>0</v>
          </cell>
          <cell r="F156">
            <v>0</v>
          </cell>
          <cell r="G156">
            <v>0</v>
          </cell>
          <cell r="H156">
            <v>0</v>
          </cell>
          <cell r="I156"/>
          <cell r="J156"/>
          <cell r="K156"/>
          <cell r="L156"/>
          <cell r="M156"/>
          <cell r="N156"/>
          <cell r="O156"/>
          <cell r="P156"/>
          <cell r="Q156"/>
          <cell r="R156"/>
          <cell r="S156"/>
          <cell r="T156"/>
          <cell r="U156"/>
          <cell r="V156"/>
          <cell r="W156"/>
          <cell r="X156"/>
          <cell r="Y156"/>
          <cell r="Z156"/>
          <cell r="AA156"/>
          <cell r="AB156"/>
          <cell r="AF156">
            <v>3</v>
          </cell>
          <cell r="AG156">
            <v>0</v>
          </cell>
          <cell r="AH156">
            <v>3</v>
          </cell>
          <cell r="AI156">
            <v>0</v>
          </cell>
          <cell r="AJ156">
            <v>0</v>
          </cell>
          <cell r="AK156">
            <v>0</v>
          </cell>
          <cell r="AL156"/>
          <cell r="AM156"/>
          <cell r="AN156"/>
          <cell r="AO156"/>
          <cell r="AP156"/>
          <cell r="AQ156"/>
          <cell r="AR156"/>
          <cell r="AS156"/>
          <cell r="AT156"/>
          <cell r="AU156"/>
          <cell r="AV156"/>
          <cell r="AW156"/>
          <cell r="AX156"/>
          <cell r="AY156"/>
          <cell r="AZ156"/>
          <cell r="BA156"/>
          <cell r="BB156"/>
          <cell r="BC156"/>
          <cell r="BD156"/>
          <cell r="BE156"/>
        </row>
        <row r="157">
          <cell r="C157">
            <v>2</v>
          </cell>
          <cell r="D157">
            <v>1</v>
          </cell>
          <cell r="E157">
            <v>1</v>
          </cell>
          <cell r="F157">
            <v>0</v>
          </cell>
          <cell r="G157">
            <v>1</v>
          </cell>
          <cell r="H157">
            <v>1</v>
          </cell>
          <cell r="I157"/>
          <cell r="J157"/>
          <cell r="K157"/>
          <cell r="L157"/>
          <cell r="M157"/>
          <cell r="N157"/>
          <cell r="O157"/>
          <cell r="P157"/>
          <cell r="Q157"/>
          <cell r="R157"/>
          <cell r="S157"/>
          <cell r="T157"/>
          <cell r="U157"/>
          <cell r="V157"/>
          <cell r="W157"/>
          <cell r="X157"/>
          <cell r="Y157"/>
          <cell r="Z157"/>
          <cell r="AA157"/>
          <cell r="AB157"/>
          <cell r="AF157">
            <v>3</v>
          </cell>
          <cell r="AG157">
            <v>2</v>
          </cell>
          <cell r="AH157">
            <v>3</v>
          </cell>
          <cell r="AI157">
            <v>1</v>
          </cell>
          <cell r="AJ157">
            <v>0</v>
          </cell>
          <cell r="AK157">
            <v>1</v>
          </cell>
          <cell r="AL157"/>
          <cell r="AM157"/>
          <cell r="AN157"/>
          <cell r="AO157"/>
          <cell r="AP157"/>
          <cell r="AQ157"/>
          <cell r="AR157"/>
          <cell r="AS157"/>
          <cell r="AT157"/>
          <cell r="AU157"/>
          <cell r="AV157"/>
          <cell r="AW157"/>
          <cell r="AX157"/>
          <cell r="AY157"/>
          <cell r="AZ157"/>
          <cell r="BA157"/>
          <cell r="BB157"/>
          <cell r="BC157"/>
          <cell r="BD157"/>
          <cell r="BE157"/>
        </row>
        <row r="158">
          <cell r="C158">
            <v>0</v>
          </cell>
          <cell r="D158">
            <v>0</v>
          </cell>
          <cell r="E158">
            <v>0</v>
          </cell>
          <cell r="F158">
            <v>0</v>
          </cell>
          <cell r="G158">
            <v>0</v>
          </cell>
          <cell r="H158">
            <v>0</v>
          </cell>
          <cell r="I158"/>
          <cell r="J158"/>
          <cell r="K158"/>
          <cell r="L158"/>
          <cell r="M158"/>
          <cell r="N158"/>
          <cell r="O158"/>
          <cell r="P158"/>
          <cell r="Q158"/>
          <cell r="R158"/>
          <cell r="S158"/>
          <cell r="T158"/>
          <cell r="U158"/>
          <cell r="V158"/>
          <cell r="W158"/>
          <cell r="X158"/>
          <cell r="Y158"/>
          <cell r="Z158"/>
          <cell r="AA158"/>
          <cell r="AB158"/>
          <cell r="AF158">
            <v>0</v>
          </cell>
          <cell r="AG158">
            <v>0</v>
          </cell>
          <cell r="AH158">
            <v>0</v>
          </cell>
          <cell r="AI158">
            <v>0</v>
          </cell>
          <cell r="AJ158">
            <v>0</v>
          </cell>
          <cell r="AK158">
            <v>0</v>
          </cell>
          <cell r="AL158"/>
          <cell r="AM158"/>
          <cell r="AN158"/>
          <cell r="AO158"/>
          <cell r="AP158"/>
          <cell r="AQ158"/>
          <cell r="AR158"/>
          <cell r="AS158"/>
          <cell r="AT158"/>
          <cell r="AU158"/>
          <cell r="AV158"/>
          <cell r="AW158"/>
          <cell r="AX158"/>
          <cell r="AY158"/>
          <cell r="AZ158"/>
          <cell r="BA158"/>
          <cell r="BB158"/>
          <cell r="BC158"/>
          <cell r="BD158"/>
          <cell r="BE158"/>
        </row>
        <row r="159">
          <cell r="C159">
            <v>0</v>
          </cell>
          <cell r="D159">
            <v>0</v>
          </cell>
          <cell r="E159">
            <v>0</v>
          </cell>
          <cell r="F159">
            <v>0</v>
          </cell>
          <cell r="G159">
            <v>0</v>
          </cell>
          <cell r="H159">
            <v>0</v>
          </cell>
          <cell r="I159"/>
          <cell r="J159"/>
          <cell r="K159"/>
          <cell r="L159"/>
          <cell r="M159"/>
          <cell r="N159"/>
          <cell r="O159"/>
          <cell r="P159"/>
          <cell r="Q159"/>
          <cell r="R159"/>
          <cell r="S159"/>
          <cell r="T159"/>
          <cell r="U159"/>
          <cell r="V159"/>
          <cell r="W159"/>
          <cell r="X159"/>
          <cell r="Y159"/>
          <cell r="Z159"/>
          <cell r="AA159"/>
          <cell r="AB159"/>
          <cell r="AF159">
            <v>33</v>
          </cell>
          <cell r="AG159">
            <v>0</v>
          </cell>
          <cell r="AH159">
            <v>33</v>
          </cell>
          <cell r="AI159">
            <v>0</v>
          </cell>
          <cell r="AJ159">
            <v>0</v>
          </cell>
          <cell r="AK159">
            <v>0</v>
          </cell>
          <cell r="AL159"/>
          <cell r="AM159"/>
          <cell r="AN159"/>
          <cell r="AO159"/>
          <cell r="AP159"/>
          <cell r="AQ159"/>
          <cell r="AR159"/>
          <cell r="AS159"/>
          <cell r="AT159"/>
          <cell r="AU159"/>
          <cell r="AV159"/>
          <cell r="AW159"/>
          <cell r="AX159"/>
          <cell r="AY159"/>
          <cell r="AZ159"/>
          <cell r="BA159"/>
          <cell r="BB159"/>
          <cell r="BC159"/>
          <cell r="BD159"/>
          <cell r="BE159"/>
        </row>
        <row r="160">
          <cell r="C160">
            <v>0</v>
          </cell>
          <cell r="D160">
            <v>0</v>
          </cell>
          <cell r="E160">
            <v>0</v>
          </cell>
          <cell r="F160">
            <v>0</v>
          </cell>
          <cell r="G160">
            <v>0</v>
          </cell>
          <cell r="H160">
            <v>0</v>
          </cell>
          <cell r="I160"/>
          <cell r="J160"/>
          <cell r="K160"/>
          <cell r="L160"/>
          <cell r="M160"/>
          <cell r="N160"/>
          <cell r="O160"/>
          <cell r="P160"/>
          <cell r="Q160"/>
          <cell r="R160"/>
          <cell r="S160"/>
          <cell r="T160"/>
          <cell r="U160"/>
          <cell r="V160"/>
          <cell r="W160"/>
          <cell r="X160"/>
          <cell r="Y160"/>
          <cell r="Z160"/>
          <cell r="AA160"/>
          <cell r="AB160"/>
          <cell r="AF160">
            <v>0</v>
          </cell>
          <cell r="AG160">
            <v>0</v>
          </cell>
          <cell r="AH160">
            <v>0</v>
          </cell>
          <cell r="AI160">
            <v>0</v>
          </cell>
          <cell r="AJ160">
            <v>0</v>
          </cell>
          <cell r="AK160">
            <v>0</v>
          </cell>
          <cell r="AL160"/>
          <cell r="AM160"/>
          <cell r="AN160"/>
          <cell r="AO160"/>
          <cell r="AP160"/>
          <cell r="AQ160"/>
          <cell r="AR160"/>
          <cell r="AS160"/>
          <cell r="AT160"/>
          <cell r="AU160"/>
          <cell r="AV160"/>
          <cell r="AW160"/>
          <cell r="AX160"/>
          <cell r="AY160"/>
          <cell r="AZ160"/>
          <cell r="BA160"/>
          <cell r="BB160"/>
          <cell r="BC160"/>
          <cell r="BD160"/>
          <cell r="BE160"/>
        </row>
        <row r="161">
          <cell r="C161">
            <v>0</v>
          </cell>
          <cell r="D161">
            <v>1</v>
          </cell>
          <cell r="E161">
            <v>0</v>
          </cell>
          <cell r="F161">
            <v>0</v>
          </cell>
          <cell r="G161">
            <v>0</v>
          </cell>
          <cell r="H161">
            <v>1</v>
          </cell>
          <cell r="I161"/>
          <cell r="J161"/>
          <cell r="K161"/>
          <cell r="L161"/>
          <cell r="M161"/>
          <cell r="N161"/>
          <cell r="O161"/>
          <cell r="P161"/>
          <cell r="Q161"/>
          <cell r="R161"/>
          <cell r="S161"/>
          <cell r="T161"/>
          <cell r="U161"/>
          <cell r="V161"/>
          <cell r="W161"/>
          <cell r="X161"/>
          <cell r="Y161"/>
          <cell r="Z161"/>
          <cell r="AA161"/>
          <cell r="AB161"/>
          <cell r="AF161">
            <v>0</v>
          </cell>
          <cell r="AG161">
            <v>1</v>
          </cell>
          <cell r="AH161">
            <v>0</v>
          </cell>
          <cell r="AI161">
            <v>0</v>
          </cell>
          <cell r="AJ161">
            <v>0</v>
          </cell>
          <cell r="AK161">
            <v>1</v>
          </cell>
          <cell r="AL161"/>
          <cell r="AM161"/>
          <cell r="AN161"/>
          <cell r="AO161"/>
          <cell r="AP161"/>
          <cell r="AQ161"/>
          <cell r="AR161"/>
          <cell r="AS161"/>
          <cell r="AT161"/>
          <cell r="AU161"/>
          <cell r="AV161"/>
          <cell r="AW161"/>
          <cell r="AX161"/>
          <cell r="AY161"/>
          <cell r="AZ161"/>
          <cell r="BA161"/>
          <cell r="BB161"/>
          <cell r="BC161"/>
          <cell r="BD161"/>
          <cell r="BE161"/>
        </row>
        <row r="162">
          <cell r="C162">
            <v>0</v>
          </cell>
          <cell r="D162">
            <v>0</v>
          </cell>
          <cell r="E162">
            <v>0</v>
          </cell>
          <cell r="F162">
            <v>0</v>
          </cell>
          <cell r="G162">
            <v>0</v>
          </cell>
          <cell r="H162">
            <v>0</v>
          </cell>
          <cell r="I162"/>
          <cell r="J162"/>
          <cell r="K162"/>
          <cell r="L162"/>
          <cell r="M162"/>
          <cell r="N162"/>
          <cell r="O162"/>
          <cell r="P162"/>
          <cell r="Q162"/>
          <cell r="R162"/>
          <cell r="S162"/>
          <cell r="T162"/>
          <cell r="U162"/>
          <cell r="V162"/>
          <cell r="W162"/>
          <cell r="X162"/>
          <cell r="Y162"/>
          <cell r="Z162"/>
          <cell r="AA162"/>
          <cell r="AB162"/>
          <cell r="AF162">
            <v>0</v>
          </cell>
          <cell r="AG162">
            <v>0</v>
          </cell>
          <cell r="AH162">
            <v>0</v>
          </cell>
          <cell r="AI162">
            <v>0</v>
          </cell>
          <cell r="AJ162">
            <v>0</v>
          </cell>
          <cell r="AK162">
            <v>0</v>
          </cell>
          <cell r="AL162"/>
          <cell r="AM162"/>
          <cell r="AN162"/>
          <cell r="AO162"/>
          <cell r="AP162"/>
          <cell r="AQ162"/>
          <cell r="AR162"/>
          <cell r="AS162"/>
          <cell r="AT162"/>
          <cell r="AU162"/>
          <cell r="AV162"/>
          <cell r="AW162"/>
          <cell r="AX162"/>
          <cell r="AY162"/>
          <cell r="AZ162"/>
          <cell r="BA162"/>
          <cell r="BB162"/>
          <cell r="BC162"/>
          <cell r="BD162"/>
          <cell r="BE162"/>
        </row>
        <row r="163">
          <cell r="C163">
            <v>0</v>
          </cell>
          <cell r="D163">
            <v>0</v>
          </cell>
          <cell r="E163">
            <v>0</v>
          </cell>
          <cell r="F163">
            <v>0</v>
          </cell>
          <cell r="G163">
            <v>0</v>
          </cell>
          <cell r="H163">
            <v>0</v>
          </cell>
          <cell r="I163"/>
          <cell r="J163"/>
          <cell r="K163"/>
          <cell r="L163"/>
          <cell r="M163"/>
          <cell r="N163"/>
          <cell r="O163"/>
          <cell r="P163"/>
          <cell r="Q163"/>
          <cell r="R163"/>
          <cell r="S163"/>
          <cell r="T163"/>
          <cell r="U163"/>
          <cell r="V163"/>
          <cell r="W163"/>
          <cell r="X163"/>
          <cell r="Y163"/>
          <cell r="Z163"/>
          <cell r="AA163"/>
          <cell r="AB163"/>
          <cell r="AF163">
            <v>0</v>
          </cell>
          <cell r="AG163">
            <v>0</v>
          </cell>
          <cell r="AH163">
            <v>0</v>
          </cell>
          <cell r="AI163">
            <v>0</v>
          </cell>
          <cell r="AJ163">
            <v>0</v>
          </cell>
          <cell r="AK163">
            <v>0</v>
          </cell>
          <cell r="AL163"/>
          <cell r="AM163"/>
          <cell r="AN163"/>
          <cell r="AO163"/>
          <cell r="AP163"/>
          <cell r="AQ163"/>
          <cell r="AR163"/>
          <cell r="AS163"/>
          <cell r="AT163"/>
          <cell r="AU163"/>
          <cell r="AV163"/>
          <cell r="AW163"/>
          <cell r="AX163"/>
          <cell r="AY163"/>
          <cell r="AZ163"/>
          <cell r="BA163"/>
          <cell r="BB163"/>
          <cell r="BC163"/>
          <cell r="BD163"/>
          <cell r="BE163"/>
        </row>
        <row r="164">
          <cell r="C164">
            <v>0</v>
          </cell>
          <cell r="D164">
            <v>0</v>
          </cell>
          <cell r="E164">
            <v>0</v>
          </cell>
          <cell r="F164">
            <v>0</v>
          </cell>
          <cell r="G164">
            <v>0</v>
          </cell>
          <cell r="H164">
            <v>0</v>
          </cell>
          <cell r="I164"/>
          <cell r="J164"/>
          <cell r="K164"/>
          <cell r="L164"/>
          <cell r="M164"/>
          <cell r="N164"/>
          <cell r="O164"/>
          <cell r="P164"/>
          <cell r="Q164"/>
          <cell r="R164"/>
          <cell r="S164"/>
          <cell r="T164"/>
          <cell r="U164"/>
          <cell r="V164"/>
          <cell r="W164"/>
          <cell r="X164"/>
          <cell r="Y164"/>
          <cell r="Z164"/>
          <cell r="AA164"/>
          <cell r="AB164"/>
          <cell r="AF164">
            <v>0</v>
          </cell>
          <cell r="AG164">
            <v>0</v>
          </cell>
          <cell r="AH164">
            <v>0</v>
          </cell>
          <cell r="AI164">
            <v>0</v>
          </cell>
          <cell r="AJ164">
            <v>0</v>
          </cell>
          <cell r="AK164">
            <v>0</v>
          </cell>
          <cell r="AL164"/>
          <cell r="AM164"/>
          <cell r="AN164"/>
          <cell r="AO164"/>
          <cell r="AP164"/>
          <cell r="AQ164"/>
          <cell r="AR164"/>
          <cell r="AS164"/>
          <cell r="AT164"/>
          <cell r="AU164"/>
          <cell r="AV164"/>
          <cell r="AW164"/>
          <cell r="AX164"/>
          <cell r="AY164"/>
          <cell r="AZ164"/>
          <cell r="BA164"/>
          <cell r="BB164"/>
          <cell r="BC164"/>
          <cell r="BD164"/>
          <cell r="BE164"/>
        </row>
        <row r="165">
          <cell r="C165">
            <v>0</v>
          </cell>
          <cell r="D165">
            <v>0</v>
          </cell>
          <cell r="E165">
            <v>0</v>
          </cell>
          <cell r="F165">
            <v>0</v>
          </cell>
          <cell r="G165">
            <v>0</v>
          </cell>
          <cell r="H165">
            <v>0</v>
          </cell>
          <cell r="I165"/>
          <cell r="J165"/>
          <cell r="K165"/>
          <cell r="L165"/>
          <cell r="M165"/>
          <cell r="N165"/>
          <cell r="O165"/>
          <cell r="P165"/>
          <cell r="Q165"/>
          <cell r="R165"/>
          <cell r="S165"/>
          <cell r="T165"/>
          <cell r="U165"/>
          <cell r="V165"/>
          <cell r="W165"/>
          <cell r="X165"/>
          <cell r="Y165"/>
          <cell r="Z165"/>
          <cell r="AA165"/>
          <cell r="AB165"/>
          <cell r="AF165">
            <v>0</v>
          </cell>
          <cell r="AG165">
            <v>0</v>
          </cell>
          <cell r="AH165">
            <v>0</v>
          </cell>
          <cell r="AI165">
            <v>0</v>
          </cell>
          <cell r="AJ165">
            <v>0</v>
          </cell>
          <cell r="AK165">
            <v>0</v>
          </cell>
          <cell r="AL165"/>
          <cell r="AM165"/>
          <cell r="AN165"/>
          <cell r="AO165"/>
          <cell r="AP165"/>
          <cell r="AQ165"/>
          <cell r="AR165"/>
          <cell r="AS165"/>
          <cell r="AT165"/>
          <cell r="AU165"/>
          <cell r="AV165"/>
          <cell r="AW165"/>
          <cell r="AX165"/>
          <cell r="AY165"/>
          <cell r="AZ165"/>
          <cell r="BA165"/>
          <cell r="BB165"/>
          <cell r="BC165"/>
          <cell r="BD165"/>
          <cell r="BE165"/>
        </row>
        <row r="166">
          <cell r="C166">
            <v>0</v>
          </cell>
          <cell r="D166">
            <v>0</v>
          </cell>
          <cell r="E166">
            <v>0</v>
          </cell>
          <cell r="F166">
            <v>0</v>
          </cell>
          <cell r="G166">
            <v>0</v>
          </cell>
          <cell r="H166">
            <v>0</v>
          </cell>
          <cell r="I166"/>
          <cell r="J166"/>
          <cell r="K166"/>
          <cell r="L166"/>
          <cell r="M166"/>
          <cell r="N166"/>
          <cell r="O166"/>
          <cell r="P166"/>
          <cell r="Q166"/>
          <cell r="R166"/>
          <cell r="S166"/>
          <cell r="T166"/>
          <cell r="U166"/>
          <cell r="V166"/>
          <cell r="W166"/>
          <cell r="X166"/>
          <cell r="Y166"/>
          <cell r="Z166"/>
          <cell r="AA166"/>
          <cell r="AB166"/>
          <cell r="AF166">
            <v>0</v>
          </cell>
          <cell r="AG166">
            <v>0</v>
          </cell>
          <cell r="AH166">
            <v>0</v>
          </cell>
          <cell r="AI166">
            <v>0</v>
          </cell>
          <cell r="AJ166">
            <v>0</v>
          </cell>
          <cell r="AK166">
            <v>0</v>
          </cell>
          <cell r="AL166"/>
          <cell r="AM166"/>
          <cell r="AN166"/>
          <cell r="AO166"/>
          <cell r="AP166"/>
          <cell r="AQ166"/>
          <cell r="AR166"/>
          <cell r="AS166"/>
          <cell r="AT166"/>
          <cell r="AU166"/>
          <cell r="AV166"/>
          <cell r="AW166"/>
          <cell r="AX166"/>
          <cell r="AY166"/>
          <cell r="AZ166"/>
          <cell r="BA166"/>
          <cell r="BB166"/>
          <cell r="BC166"/>
          <cell r="BD166"/>
          <cell r="BE166"/>
        </row>
        <row r="167">
          <cell r="C167">
            <v>0</v>
          </cell>
          <cell r="D167">
            <v>0</v>
          </cell>
          <cell r="E167">
            <v>0</v>
          </cell>
          <cell r="F167">
            <v>0</v>
          </cell>
          <cell r="G167">
            <v>0</v>
          </cell>
          <cell r="H167">
            <v>0</v>
          </cell>
          <cell r="I167"/>
          <cell r="J167"/>
          <cell r="K167"/>
          <cell r="L167"/>
          <cell r="M167"/>
          <cell r="N167"/>
          <cell r="O167"/>
          <cell r="P167"/>
          <cell r="Q167"/>
          <cell r="R167"/>
          <cell r="S167"/>
          <cell r="T167"/>
          <cell r="U167"/>
          <cell r="V167"/>
          <cell r="W167"/>
          <cell r="X167"/>
          <cell r="Y167"/>
          <cell r="Z167"/>
          <cell r="AA167"/>
          <cell r="AB167"/>
          <cell r="AF167">
            <v>0</v>
          </cell>
          <cell r="AG167">
            <v>0</v>
          </cell>
          <cell r="AH167">
            <v>0</v>
          </cell>
          <cell r="AI167">
            <v>0</v>
          </cell>
          <cell r="AJ167">
            <v>0</v>
          </cell>
          <cell r="AK167">
            <v>0</v>
          </cell>
          <cell r="AL167"/>
          <cell r="AM167"/>
          <cell r="AN167"/>
          <cell r="AO167"/>
          <cell r="AP167"/>
          <cell r="AQ167"/>
          <cell r="AR167"/>
          <cell r="AS167"/>
          <cell r="AT167"/>
          <cell r="AU167"/>
          <cell r="AV167"/>
          <cell r="AW167"/>
          <cell r="AX167"/>
          <cell r="AY167"/>
          <cell r="AZ167"/>
          <cell r="BA167"/>
          <cell r="BB167"/>
          <cell r="BC167"/>
          <cell r="BD167"/>
          <cell r="BE167"/>
        </row>
        <row r="168">
          <cell r="C168">
            <v>0</v>
          </cell>
          <cell r="D168">
            <v>0</v>
          </cell>
          <cell r="E168">
            <v>0</v>
          </cell>
          <cell r="F168">
            <v>0</v>
          </cell>
          <cell r="G168">
            <v>0</v>
          </cell>
          <cell r="H168">
            <v>0</v>
          </cell>
          <cell r="I168"/>
          <cell r="J168"/>
          <cell r="K168"/>
          <cell r="L168"/>
          <cell r="M168"/>
          <cell r="N168"/>
          <cell r="O168"/>
          <cell r="P168"/>
          <cell r="Q168"/>
          <cell r="R168"/>
          <cell r="S168"/>
          <cell r="T168"/>
          <cell r="U168"/>
          <cell r="V168"/>
          <cell r="W168"/>
          <cell r="X168"/>
          <cell r="Y168"/>
          <cell r="Z168"/>
          <cell r="AA168"/>
          <cell r="AB168"/>
          <cell r="AF168">
            <v>0</v>
          </cell>
          <cell r="AG168">
            <v>0</v>
          </cell>
          <cell r="AH168">
            <v>0</v>
          </cell>
          <cell r="AI168">
            <v>0</v>
          </cell>
          <cell r="AJ168">
            <v>0</v>
          </cell>
          <cell r="AK168">
            <v>0</v>
          </cell>
          <cell r="AL168"/>
          <cell r="AM168"/>
          <cell r="AN168"/>
          <cell r="AO168"/>
          <cell r="AP168"/>
          <cell r="AQ168"/>
          <cell r="AR168"/>
          <cell r="AS168"/>
          <cell r="AT168"/>
          <cell r="AU168"/>
          <cell r="AV168"/>
          <cell r="AW168"/>
          <cell r="AX168"/>
          <cell r="AY168"/>
          <cell r="AZ168"/>
          <cell r="BA168"/>
          <cell r="BB168"/>
          <cell r="BC168"/>
          <cell r="BD168"/>
          <cell r="BE168"/>
        </row>
        <row r="169">
          <cell r="C169">
            <v>0</v>
          </cell>
          <cell r="D169">
            <v>0</v>
          </cell>
          <cell r="E169">
            <v>0</v>
          </cell>
          <cell r="F169">
            <v>0</v>
          </cell>
          <cell r="G169">
            <v>0</v>
          </cell>
          <cell r="H169">
            <v>0</v>
          </cell>
          <cell r="I169"/>
          <cell r="J169"/>
          <cell r="K169"/>
          <cell r="L169"/>
          <cell r="M169"/>
          <cell r="N169"/>
          <cell r="O169"/>
          <cell r="P169"/>
          <cell r="Q169"/>
          <cell r="R169"/>
          <cell r="S169"/>
          <cell r="T169"/>
          <cell r="U169"/>
          <cell r="V169"/>
          <cell r="W169"/>
          <cell r="X169"/>
          <cell r="Y169"/>
          <cell r="Z169"/>
          <cell r="AA169"/>
          <cell r="AB169"/>
          <cell r="AF169">
            <v>0</v>
          </cell>
          <cell r="AG169">
            <v>0</v>
          </cell>
          <cell r="AH169">
            <v>0</v>
          </cell>
          <cell r="AI169">
            <v>0</v>
          </cell>
          <cell r="AJ169">
            <v>0</v>
          </cell>
          <cell r="AK169">
            <v>0</v>
          </cell>
          <cell r="AL169"/>
          <cell r="AM169"/>
          <cell r="AN169"/>
          <cell r="AO169"/>
          <cell r="AP169"/>
          <cell r="AQ169"/>
          <cell r="AR169"/>
          <cell r="AS169"/>
          <cell r="AT169"/>
          <cell r="AU169"/>
          <cell r="AV169"/>
          <cell r="AW169"/>
          <cell r="AX169"/>
          <cell r="AY169"/>
          <cell r="AZ169"/>
          <cell r="BA169"/>
          <cell r="BB169"/>
          <cell r="BC169"/>
          <cell r="BD169"/>
          <cell r="BE169"/>
        </row>
        <row r="170">
          <cell r="C170">
            <v>0</v>
          </cell>
          <cell r="D170">
            <v>0</v>
          </cell>
          <cell r="E170">
            <v>0</v>
          </cell>
          <cell r="F170">
            <v>0</v>
          </cell>
          <cell r="G170">
            <v>0</v>
          </cell>
          <cell r="H170">
            <v>0</v>
          </cell>
          <cell r="I170"/>
          <cell r="J170"/>
          <cell r="K170"/>
          <cell r="L170"/>
          <cell r="M170"/>
          <cell r="N170"/>
          <cell r="O170"/>
          <cell r="P170"/>
          <cell r="Q170"/>
          <cell r="R170"/>
          <cell r="S170"/>
          <cell r="T170"/>
          <cell r="U170"/>
          <cell r="V170"/>
          <cell r="W170"/>
          <cell r="X170"/>
          <cell r="Y170"/>
          <cell r="Z170"/>
          <cell r="AA170"/>
          <cell r="AB170"/>
          <cell r="AF170">
            <v>0</v>
          </cell>
          <cell r="AG170">
            <v>0</v>
          </cell>
          <cell r="AH170">
            <v>0</v>
          </cell>
          <cell r="AI170">
            <v>0</v>
          </cell>
          <cell r="AJ170">
            <v>0</v>
          </cell>
          <cell r="AK170">
            <v>0</v>
          </cell>
          <cell r="AL170"/>
          <cell r="AM170"/>
          <cell r="AN170"/>
          <cell r="AO170"/>
          <cell r="AP170"/>
          <cell r="AQ170"/>
          <cell r="AR170"/>
          <cell r="AS170"/>
          <cell r="AT170"/>
          <cell r="AU170"/>
          <cell r="AV170"/>
          <cell r="AW170"/>
          <cell r="AX170"/>
          <cell r="AY170"/>
          <cell r="AZ170"/>
          <cell r="BA170"/>
          <cell r="BB170"/>
          <cell r="BC170"/>
          <cell r="BD170"/>
          <cell r="BE170"/>
        </row>
        <row r="171">
          <cell r="C171">
            <v>0</v>
          </cell>
          <cell r="D171">
            <v>0</v>
          </cell>
          <cell r="E171">
            <v>0</v>
          </cell>
          <cell r="F171">
            <v>0</v>
          </cell>
          <cell r="G171">
            <v>0</v>
          </cell>
          <cell r="H171">
            <v>0</v>
          </cell>
          <cell r="I171"/>
          <cell r="J171"/>
          <cell r="K171"/>
          <cell r="L171"/>
          <cell r="M171"/>
          <cell r="N171"/>
          <cell r="O171"/>
          <cell r="P171"/>
          <cell r="Q171"/>
          <cell r="R171"/>
          <cell r="S171"/>
          <cell r="T171"/>
          <cell r="U171"/>
          <cell r="V171"/>
          <cell r="W171"/>
          <cell r="X171"/>
          <cell r="Y171"/>
          <cell r="Z171"/>
          <cell r="AA171"/>
          <cell r="AB171"/>
          <cell r="AF171">
            <v>0</v>
          </cell>
          <cell r="AG171">
            <v>0</v>
          </cell>
          <cell r="AH171">
            <v>0</v>
          </cell>
          <cell r="AI171">
            <v>0</v>
          </cell>
          <cell r="AJ171">
            <v>0</v>
          </cell>
          <cell r="AK171">
            <v>0</v>
          </cell>
          <cell r="AL171"/>
          <cell r="AM171"/>
          <cell r="AN171"/>
          <cell r="AO171"/>
          <cell r="AP171"/>
          <cell r="AQ171"/>
          <cell r="AR171"/>
          <cell r="AS171"/>
          <cell r="AT171"/>
          <cell r="AU171"/>
          <cell r="AV171"/>
          <cell r="AW171"/>
          <cell r="AX171"/>
          <cell r="AY171"/>
          <cell r="AZ171"/>
          <cell r="BA171"/>
          <cell r="BB171"/>
          <cell r="BC171"/>
          <cell r="BD171"/>
          <cell r="BE171"/>
        </row>
        <row r="172">
          <cell r="C172">
            <v>0</v>
          </cell>
          <cell r="D172">
            <v>0</v>
          </cell>
          <cell r="E172">
            <v>0</v>
          </cell>
          <cell r="F172">
            <v>0</v>
          </cell>
          <cell r="G172">
            <v>0</v>
          </cell>
          <cell r="H172">
            <v>0</v>
          </cell>
          <cell r="I172"/>
          <cell r="J172"/>
          <cell r="K172"/>
          <cell r="L172"/>
          <cell r="M172"/>
          <cell r="N172"/>
          <cell r="O172"/>
          <cell r="P172"/>
          <cell r="Q172"/>
          <cell r="R172"/>
          <cell r="S172"/>
          <cell r="T172"/>
          <cell r="U172"/>
          <cell r="V172"/>
          <cell r="W172"/>
          <cell r="X172"/>
          <cell r="Y172"/>
          <cell r="Z172"/>
          <cell r="AA172"/>
          <cell r="AB172"/>
          <cell r="AF172">
            <v>1</v>
          </cell>
          <cell r="AG172">
            <v>0</v>
          </cell>
          <cell r="AH172">
            <v>1</v>
          </cell>
          <cell r="AI172">
            <v>0</v>
          </cell>
          <cell r="AJ172">
            <v>0</v>
          </cell>
          <cell r="AK172">
            <v>0</v>
          </cell>
          <cell r="AL172"/>
          <cell r="AM172"/>
          <cell r="AN172"/>
          <cell r="AO172"/>
          <cell r="AP172"/>
          <cell r="AQ172"/>
          <cell r="AR172"/>
          <cell r="AS172"/>
          <cell r="AT172"/>
          <cell r="AU172"/>
          <cell r="AV172"/>
          <cell r="AW172"/>
          <cell r="AX172"/>
          <cell r="AY172"/>
          <cell r="AZ172"/>
          <cell r="BA172"/>
          <cell r="BB172"/>
          <cell r="BC172"/>
          <cell r="BD172"/>
          <cell r="BE172"/>
        </row>
        <row r="173">
          <cell r="C173">
            <v>0</v>
          </cell>
          <cell r="D173">
            <v>0</v>
          </cell>
          <cell r="E173">
            <v>0</v>
          </cell>
          <cell r="F173">
            <v>0</v>
          </cell>
          <cell r="G173">
            <v>0</v>
          </cell>
          <cell r="H173">
            <v>0</v>
          </cell>
          <cell r="I173"/>
          <cell r="J173"/>
          <cell r="K173"/>
          <cell r="L173"/>
          <cell r="M173"/>
          <cell r="N173"/>
          <cell r="O173"/>
          <cell r="P173"/>
          <cell r="Q173"/>
          <cell r="R173"/>
          <cell r="S173"/>
          <cell r="T173"/>
          <cell r="U173"/>
          <cell r="V173"/>
          <cell r="W173"/>
          <cell r="X173"/>
          <cell r="Y173"/>
          <cell r="Z173"/>
          <cell r="AA173"/>
          <cell r="AB173"/>
          <cell r="AF173">
            <v>0</v>
          </cell>
          <cell r="AG173">
            <v>0</v>
          </cell>
          <cell r="AH173">
            <v>0</v>
          </cell>
          <cell r="AI173">
            <v>0</v>
          </cell>
          <cell r="AJ173">
            <v>0</v>
          </cell>
          <cell r="AK173">
            <v>0</v>
          </cell>
          <cell r="AL173"/>
          <cell r="AM173"/>
          <cell r="AN173"/>
          <cell r="AO173"/>
          <cell r="AP173"/>
          <cell r="AQ173"/>
          <cell r="AR173"/>
          <cell r="AS173"/>
          <cell r="AT173"/>
          <cell r="AU173"/>
          <cell r="AV173"/>
          <cell r="AW173"/>
          <cell r="AX173"/>
          <cell r="AY173"/>
          <cell r="AZ173"/>
          <cell r="BA173"/>
          <cell r="BB173"/>
          <cell r="BC173"/>
          <cell r="BD173"/>
          <cell r="BE173"/>
        </row>
        <row r="174">
          <cell r="C174">
            <v>0</v>
          </cell>
          <cell r="D174">
            <v>0</v>
          </cell>
          <cell r="E174">
            <v>0</v>
          </cell>
          <cell r="F174">
            <v>0</v>
          </cell>
          <cell r="G174">
            <v>0</v>
          </cell>
          <cell r="H174">
            <v>0</v>
          </cell>
          <cell r="I174"/>
          <cell r="J174"/>
          <cell r="K174"/>
          <cell r="L174"/>
          <cell r="M174"/>
          <cell r="N174"/>
          <cell r="O174"/>
          <cell r="P174"/>
          <cell r="Q174"/>
          <cell r="R174"/>
          <cell r="S174"/>
          <cell r="T174"/>
          <cell r="U174"/>
          <cell r="V174"/>
          <cell r="W174"/>
          <cell r="X174"/>
          <cell r="Y174"/>
          <cell r="Z174"/>
          <cell r="AA174"/>
          <cell r="AB174"/>
          <cell r="AF174">
            <v>0</v>
          </cell>
          <cell r="AG174">
            <v>0</v>
          </cell>
          <cell r="AH174">
            <v>0</v>
          </cell>
          <cell r="AI174">
            <v>0</v>
          </cell>
          <cell r="AJ174">
            <v>0</v>
          </cell>
          <cell r="AK174">
            <v>0</v>
          </cell>
          <cell r="AL174"/>
          <cell r="AM174"/>
          <cell r="AN174"/>
          <cell r="AO174"/>
          <cell r="AP174"/>
          <cell r="AQ174"/>
          <cell r="AR174"/>
          <cell r="AS174"/>
          <cell r="AT174"/>
          <cell r="AU174"/>
          <cell r="AV174"/>
          <cell r="AW174"/>
          <cell r="AX174"/>
          <cell r="AY174"/>
          <cell r="AZ174"/>
          <cell r="BA174"/>
          <cell r="BB174"/>
          <cell r="BC174"/>
          <cell r="BD174"/>
          <cell r="BE174"/>
        </row>
        <row r="175">
          <cell r="C175">
            <v>0</v>
          </cell>
          <cell r="D175">
            <v>0</v>
          </cell>
          <cell r="E175">
            <v>0</v>
          </cell>
          <cell r="F175">
            <v>0</v>
          </cell>
          <cell r="G175">
            <v>0</v>
          </cell>
          <cell r="H175">
            <v>0</v>
          </cell>
          <cell r="I175"/>
          <cell r="J175"/>
          <cell r="K175"/>
          <cell r="L175"/>
          <cell r="M175"/>
          <cell r="N175"/>
          <cell r="O175"/>
          <cell r="P175"/>
          <cell r="Q175"/>
          <cell r="R175"/>
          <cell r="S175"/>
          <cell r="T175"/>
          <cell r="U175"/>
          <cell r="V175"/>
          <cell r="W175"/>
          <cell r="X175"/>
          <cell r="Y175"/>
          <cell r="Z175"/>
          <cell r="AA175"/>
          <cell r="AB175"/>
          <cell r="AF175">
            <v>5</v>
          </cell>
          <cell r="AG175">
            <v>0</v>
          </cell>
          <cell r="AH175">
            <v>5</v>
          </cell>
          <cell r="AI175">
            <v>0</v>
          </cell>
          <cell r="AJ175">
            <v>0</v>
          </cell>
          <cell r="AK175">
            <v>0</v>
          </cell>
          <cell r="AL175"/>
          <cell r="AM175"/>
          <cell r="AN175"/>
          <cell r="AO175"/>
          <cell r="AP175"/>
          <cell r="AQ175"/>
          <cell r="AR175"/>
          <cell r="AS175"/>
          <cell r="AT175"/>
          <cell r="AU175"/>
          <cell r="AV175"/>
          <cell r="AW175"/>
          <cell r="AX175"/>
          <cell r="AY175"/>
          <cell r="AZ175"/>
          <cell r="BA175"/>
          <cell r="BB175"/>
          <cell r="BC175"/>
          <cell r="BD175"/>
          <cell r="BE175"/>
        </row>
        <row r="176">
          <cell r="C176">
            <v>0</v>
          </cell>
          <cell r="D176">
            <v>0</v>
          </cell>
          <cell r="E176">
            <v>0</v>
          </cell>
          <cell r="F176">
            <v>0</v>
          </cell>
          <cell r="G176">
            <v>0</v>
          </cell>
          <cell r="H176">
            <v>0</v>
          </cell>
          <cell r="I176"/>
          <cell r="J176"/>
          <cell r="K176"/>
          <cell r="L176"/>
          <cell r="M176"/>
          <cell r="N176"/>
          <cell r="O176"/>
          <cell r="P176"/>
          <cell r="Q176"/>
          <cell r="R176"/>
          <cell r="S176"/>
          <cell r="T176"/>
          <cell r="U176"/>
          <cell r="V176"/>
          <cell r="W176"/>
          <cell r="X176"/>
          <cell r="Y176"/>
          <cell r="Z176"/>
          <cell r="AA176"/>
          <cell r="AB176"/>
          <cell r="AF176">
            <v>0</v>
          </cell>
          <cell r="AG176">
            <v>0</v>
          </cell>
          <cell r="AH176">
            <v>0</v>
          </cell>
          <cell r="AI176">
            <v>0</v>
          </cell>
          <cell r="AJ176">
            <v>0</v>
          </cell>
          <cell r="AK176">
            <v>0</v>
          </cell>
          <cell r="AL176"/>
          <cell r="AM176"/>
          <cell r="AN176"/>
          <cell r="AO176"/>
          <cell r="AP176"/>
          <cell r="AQ176"/>
          <cell r="AR176"/>
          <cell r="AS176"/>
          <cell r="AT176"/>
          <cell r="AU176"/>
          <cell r="AV176"/>
          <cell r="AW176"/>
          <cell r="AX176"/>
          <cell r="AY176"/>
          <cell r="AZ176"/>
          <cell r="BA176"/>
          <cell r="BB176"/>
          <cell r="BC176"/>
          <cell r="BD176"/>
          <cell r="BE176"/>
        </row>
        <row r="177">
          <cell r="C177">
            <v>0</v>
          </cell>
          <cell r="D177">
            <v>0</v>
          </cell>
          <cell r="E177">
            <v>0</v>
          </cell>
          <cell r="F177">
            <v>0</v>
          </cell>
          <cell r="G177">
            <v>0</v>
          </cell>
          <cell r="H177">
            <v>0</v>
          </cell>
          <cell r="I177"/>
          <cell r="J177"/>
          <cell r="K177"/>
          <cell r="L177"/>
          <cell r="M177"/>
          <cell r="N177"/>
          <cell r="O177"/>
          <cell r="P177"/>
          <cell r="Q177"/>
          <cell r="R177"/>
          <cell r="S177"/>
          <cell r="T177"/>
          <cell r="U177"/>
          <cell r="V177"/>
          <cell r="W177"/>
          <cell r="X177"/>
          <cell r="Y177"/>
          <cell r="Z177"/>
          <cell r="AA177"/>
          <cell r="AB177"/>
          <cell r="AF177">
            <v>0</v>
          </cell>
          <cell r="AG177">
            <v>0</v>
          </cell>
          <cell r="AH177">
            <v>0</v>
          </cell>
          <cell r="AI177">
            <v>0</v>
          </cell>
          <cell r="AJ177">
            <v>0</v>
          </cell>
          <cell r="AK177">
            <v>0</v>
          </cell>
          <cell r="AL177"/>
          <cell r="AM177"/>
          <cell r="AN177"/>
          <cell r="AO177"/>
          <cell r="AP177"/>
          <cell r="AQ177"/>
          <cell r="AR177"/>
          <cell r="AS177"/>
          <cell r="AT177"/>
          <cell r="AU177"/>
          <cell r="AV177"/>
          <cell r="AW177"/>
          <cell r="AX177"/>
          <cell r="AY177"/>
          <cell r="AZ177"/>
          <cell r="BA177"/>
          <cell r="BB177"/>
          <cell r="BC177"/>
          <cell r="BD177"/>
          <cell r="BE177"/>
        </row>
        <row r="178">
          <cell r="C178">
            <v>0</v>
          </cell>
          <cell r="D178">
            <v>0</v>
          </cell>
          <cell r="E178">
            <v>0</v>
          </cell>
          <cell r="F178">
            <v>0</v>
          </cell>
          <cell r="G178">
            <v>0</v>
          </cell>
          <cell r="H178">
            <v>0</v>
          </cell>
          <cell r="I178"/>
          <cell r="J178"/>
          <cell r="K178"/>
          <cell r="L178"/>
          <cell r="M178"/>
          <cell r="N178"/>
          <cell r="O178"/>
          <cell r="P178"/>
          <cell r="Q178"/>
          <cell r="R178"/>
          <cell r="S178"/>
          <cell r="T178"/>
          <cell r="U178"/>
          <cell r="V178"/>
          <cell r="W178"/>
          <cell r="X178"/>
          <cell r="Y178"/>
          <cell r="Z178"/>
          <cell r="AA178"/>
          <cell r="AB178"/>
          <cell r="AF178">
            <v>0</v>
          </cell>
          <cell r="AG178">
            <v>0</v>
          </cell>
          <cell r="AH178">
            <v>0</v>
          </cell>
          <cell r="AI178">
            <v>0</v>
          </cell>
          <cell r="AJ178">
            <v>0</v>
          </cell>
          <cell r="AK178">
            <v>0</v>
          </cell>
          <cell r="AL178"/>
          <cell r="AM178"/>
          <cell r="AN178"/>
          <cell r="AO178"/>
          <cell r="AP178"/>
          <cell r="AQ178"/>
          <cell r="AR178"/>
          <cell r="AS178"/>
          <cell r="AT178"/>
          <cell r="AU178"/>
          <cell r="AV178"/>
          <cell r="AW178"/>
          <cell r="AX178"/>
          <cell r="AY178"/>
          <cell r="AZ178"/>
          <cell r="BA178"/>
          <cell r="BB178"/>
          <cell r="BC178"/>
          <cell r="BD178"/>
          <cell r="BE178"/>
        </row>
        <row r="179">
          <cell r="C179">
            <v>0</v>
          </cell>
          <cell r="D179">
            <v>0</v>
          </cell>
          <cell r="E179">
            <v>0</v>
          </cell>
          <cell r="F179">
            <v>0</v>
          </cell>
          <cell r="G179">
            <v>0</v>
          </cell>
          <cell r="H179">
            <v>0</v>
          </cell>
          <cell r="I179"/>
          <cell r="J179"/>
          <cell r="K179"/>
          <cell r="L179"/>
          <cell r="M179"/>
          <cell r="N179"/>
          <cell r="O179"/>
          <cell r="P179"/>
          <cell r="Q179"/>
          <cell r="R179"/>
          <cell r="S179"/>
          <cell r="T179"/>
          <cell r="U179"/>
          <cell r="V179"/>
          <cell r="W179"/>
          <cell r="X179"/>
          <cell r="Y179"/>
          <cell r="Z179"/>
          <cell r="AA179"/>
          <cell r="AB179"/>
          <cell r="AF179">
            <v>0</v>
          </cell>
          <cell r="AG179">
            <v>0</v>
          </cell>
          <cell r="AH179">
            <v>0</v>
          </cell>
          <cell r="AI179">
            <v>0</v>
          </cell>
          <cell r="AJ179">
            <v>0</v>
          </cell>
          <cell r="AK179">
            <v>0</v>
          </cell>
          <cell r="AL179"/>
          <cell r="AM179"/>
          <cell r="AN179"/>
          <cell r="AO179"/>
          <cell r="AP179"/>
          <cell r="AQ179"/>
          <cell r="AR179"/>
          <cell r="AS179"/>
          <cell r="AT179"/>
          <cell r="AU179"/>
          <cell r="AV179"/>
          <cell r="AW179"/>
          <cell r="AX179"/>
          <cell r="AY179"/>
          <cell r="AZ179"/>
          <cell r="BA179"/>
          <cell r="BB179"/>
          <cell r="BC179"/>
          <cell r="BD179"/>
          <cell r="BE179"/>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cell r="J207"/>
          <cell r="K207"/>
          <cell r="L207"/>
          <cell r="M207"/>
          <cell r="N207"/>
          <cell r="O207">
            <v>0</v>
          </cell>
          <cell r="P207"/>
          <cell r="Q207">
            <v>1</v>
          </cell>
          <cell r="R207">
            <v>1</v>
          </cell>
          <cell r="S207"/>
          <cell r="T207"/>
          <cell r="U207"/>
          <cell r="V207">
            <v>2</v>
          </cell>
          <cell r="W207"/>
          <cell r="X207"/>
          <cell r="Y207"/>
          <cell r="Z207"/>
          <cell r="AA207"/>
          <cell r="AB207"/>
          <cell r="AC207"/>
          <cell r="AD207"/>
          <cell r="AE207"/>
          <cell r="AF207"/>
          <cell r="AG207"/>
          <cell r="AH207"/>
          <cell r="AI207"/>
          <cell r="AJ207"/>
          <cell r="AK207"/>
          <cell r="AL207"/>
          <cell r="AM207"/>
          <cell r="AN207"/>
          <cell r="AO207"/>
          <cell r="AP207"/>
          <cell r="AQ207"/>
          <cell r="AR207"/>
          <cell r="AS207"/>
          <cell r="AT207"/>
          <cell r="AU207"/>
          <cell r="AV207"/>
          <cell r="AW207"/>
          <cell r="AX207"/>
          <cell r="AY207"/>
          <cell r="AZ207"/>
          <cell r="BA207"/>
          <cell r="BB207"/>
          <cell r="BC207"/>
          <cell r="BD207"/>
          <cell r="BE207"/>
          <cell r="BF207"/>
          <cell r="BG207"/>
          <cell r="BH207"/>
          <cell r="BI207"/>
          <cell r="BJ207"/>
          <cell r="BK207"/>
          <cell r="BL207"/>
          <cell r="BM207"/>
          <cell r="BN207"/>
          <cell r="BO207"/>
          <cell r="BP207"/>
          <cell r="BQ207"/>
          <cell r="BR207"/>
          <cell r="BS207"/>
          <cell r="BT207"/>
          <cell r="BU207"/>
          <cell r="BV207"/>
          <cell r="BW207"/>
          <cell r="BX207"/>
          <cell r="BY207"/>
          <cell r="BZ207"/>
          <cell r="CA207"/>
          <cell r="CB207"/>
          <cell r="CC207"/>
          <cell r="CD207"/>
          <cell r="CE207"/>
          <cell r="CF207"/>
          <cell r="CG207"/>
          <cell r="CH207"/>
          <cell r="CI207"/>
          <cell r="CJ207"/>
          <cell r="CK207"/>
          <cell r="CL207"/>
          <cell r="CM207"/>
          <cell r="CN207"/>
        </row>
        <row r="208">
          <cell r="B208">
            <v>0</v>
          </cell>
          <cell r="C208">
            <v>0</v>
          </cell>
          <cell r="D208">
            <v>0</v>
          </cell>
          <cell r="E208">
            <v>0</v>
          </cell>
          <cell r="F208">
            <v>0</v>
          </cell>
          <cell r="G208">
            <v>0</v>
          </cell>
          <cell r="H208">
            <v>0</v>
          </cell>
          <cell r="I208"/>
          <cell r="J208"/>
          <cell r="K208"/>
          <cell r="L208"/>
          <cell r="M208"/>
          <cell r="N208"/>
          <cell r="O208">
            <v>0</v>
          </cell>
          <cell r="P208"/>
          <cell r="Q208"/>
          <cell r="R208"/>
          <cell r="S208"/>
          <cell r="T208"/>
          <cell r="U208"/>
          <cell r="V208">
            <v>0</v>
          </cell>
          <cell r="W208"/>
          <cell r="X208"/>
          <cell r="Y208"/>
          <cell r="Z208"/>
          <cell r="AA208"/>
          <cell r="AB208"/>
          <cell r="AC208"/>
          <cell r="AD208"/>
          <cell r="AE208"/>
          <cell r="AF208"/>
          <cell r="AG208"/>
          <cell r="AH208"/>
          <cell r="AI208"/>
          <cell r="AJ208"/>
          <cell r="AK208"/>
          <cell r="AL208"/>
          <cell r="AM208"/>
          <cell r="AN208"/>
          <cell r="AO208"/>
          <cell r="AP208"/>
          <cell r="AQ208"/>
          <cell r="AR208"/>
          <cell r="AS208"/>
          <cell r="AT208"/>
          <cell r="AU208"/>
          <cell r="AV208"/>
          <cell r="AW208"/>
          <cell r="AX208"/>
          <cell r="AY208"/>
          <cell r="AZ208"/>
          <cell r="BA208"/>
          <cell r="BB208"/>
          <cell r="BC208"/>
          <cell r="BD208"/>
          <cell r="BE208"/>
          <cell r="BF208"/>
          <cell r="BG208"/>
          <cell r="BH208"/>
          <cell r="BI208"/>
          <cell r="BJ208"/>
          <cell r="BK208"/>
          <cell r="BL208"/>
          <cell r="BM208"/>
          <cell r="BN208"/>
          <cell r="BO208"/>
          <cell r="BP208"/>
          <cell r="BQ208"/>
          <cell r="BR208"/>
          <cell r="BS208"/>
          <cell r="BT208"/>
          <cell r="BU208"/>
          <cell r="BV208"/>
          <cell r="BW208"/>
          <cell r="BX208"/>
          <cell r="BY208"/>
          <cell r="BZ208"/>
          <cell r="CA208"/>
          <cell r="CB208"/>
          <cell r="CC208"/>
          <cell r="CD208"/>
          <cell r="CE208"/>
          <cell r="CF208"/>
          <cell r="CG208"/>
          <cell r="CH208"/>
          <cell r="CI208"/>
          <cell r="CJ208"/>
          <cell r="CK208"/>
          <cell r="CL208"/>
          <cell r="CM208"/>
          <cell r="CN208"/>
        </row>
        <row r="209">
          <cell r="B209">
            <v>1</v>
          </cell>
          <cell r="C209">
            <v>0</v>
          </cell>
          <cell r="D209">
            <v>0</v>
          </cell>
          <cell r="E209">
            <v>0</v>
          </cell>
          <cell r="F209">
            <v>0</v>
          </cell>
          <cell r="G209">
            <v>0</v>
          </cell>
          <cell r="H209">
            <v>1</v>
          </cell>
          <cell r="I209">
            <v>1</v>
          </cell>
          <cell r="J209"/>
          <cell r="K209"/>
          <cell r="L209"/>
          <cell r="M209"/>
          <cell r="N209"/>
          <cell r="O209">
            <v>1</v>
          </cell>
          <cell r="P209"/>
          <cell r="Q209"/>
          <cell r="R209"/>
          <cell r="S209"/>
          <cell r="T209"/>
          <cell r="U209"/>
          <cell r="V209">
            <v>0</v>
          </cell>
          <cell r="W209"/>
          <cell r="X209"/>
          <cell r="Y209"/>
          <cell r="Z209"/>
          <cell r="AA209"/>
          <cell r="AB209"/>
          <cell r="AC209"/>
          <cell r="AD209"/>
          <cell r="AE209"/>
          <cell r="AF209"/>
          <cell r="AG209"/>
          <cell r="AH209"/>
          <cell r="AI209"/>
          <cell r="AJ209"/>
          <cell r="AK209"/>
          <cell r="AL209"/>
          <cell r="AM209"/>
          <cell r="AN209"/>
          <cell r="AO209"/>
          <cell r="AP209"/>
          <cell r="AQ209"/>
          <cell r="AR209"/>
          <cell r="AS209"/>
          <cell r="AT209"/>
          <cell r="AU209"/>
          <cell r="AV209"/>
          <cell r="AW209"/>
          <cell r="AX209"/>
          <cell r="AY209"/>
          <cell r="AZ209"/>
          <cell r="BA209"/>
          <cell r="BB209"/>
          <cell r="BC209"/>
          <cell r="BD209"/>
          <cell r="BE209"/>
          <cell r="BF209"/>
          <cell r="BG209"/>
          <cell r="BH209"/>
          <cell r="BI209"/>
          <cell r="BJ209"/>
          <cell r="BK209"/>
          <cell r="BL209"/>
          <cell r="BM209"/>
          <cell r="BN209"/>
          <cell r="BO209"/>
          <cell r="BP209"/>
          <cell r="BQ209"/>
          <cell r="BR209"/>
          <cell r="BS209"/>
          <cell r="BT209"/>
          <cell r="BU209"/>
          <cell r="BV209"/>
          <cell r="BW209"/>
          <cell r="BX209"/>
          <cell r="BY209"/>
          <cell r="BZ209"/>
          <cell r="CA209"/>
          <cell r="CB209"/>
          <cell r="CC209"/>
          <cell r="CD209"/>
          <cell r="CE209"/>
          <cell r="CF209"/>
          <cell r="CG209"/>
          <cell r="CH209"/>
          <cell r="CI209"/>
          <cell r="CJ209"/>
          <cell r="CK209"/>
          <cell r="CL209"/>
          <cell r="CM209"/>
          <cell r="CN209"/>
        </row>
        <row r="210">
          <cell r="B210">
            <v>0</v>
          </cell>
          <cell r="C210">
            <v>0</v>
          </cell>
          <cell r="D210">
            <v>0</v>
          </cell>
          <cell r="E210">
            <v>0</v>
          </cell>
          <cell r="F210">
            <v>0</v>
          </cell>
          <cell r="G210">
            <v>0</v>
          </cell>
          <cell r="H210">
            <v>0</v>
          </cell>
          <cell r="I210"/>
          <cell r="J210"/>
          <cell r="K210"/>
          <cell r="L210"/>
          <cell r="M210"/>
          <cell r="N210"/>
          <cell r="O210">
            <v>0</v>
          </cell>
          <cell r="P210"/>
          <cell r="Q210"/>
          <cell r="R210"/>
          <cell r="S210"/>
          <cell r="T210"/>
          <cell r="U210"/>
          <cell r="V210">
            <v>0</v>
          </cell>
          <cell r="W210"/>
          <cell r="X210"/>
          <cell r="Y210"/>
          <cell r="Z210"/>
          <cell r="AA210"/>
          <cell r="AB210"/>
          <cell r="AC210"/>
          <cell r="AD210"/>
          <cell r="AE210"/>
          <cell r="AF210"/>
          <cell r="AG210"/>
          <cell r="AH210"/>
          <cell r="AI210"/>
          <cell r="AJ210"/>
          <cell r="AK210"/>
          <cell r="AL210"/>
          <cell r="AM210"/>
          <cell r="AN210"/>
          <cell r="AO210"/>
          <cell r="AP210"/>
          <cell r="AQ210"/>
          <cell r="AR210"/>
          <cell r="AS210"/>
          <cell r="AT210"/>
          <cell r="AU210"/>
          <cell r="AV210"/>
          <cell r="AW210"/>
          <cell r="AX210"/>
          <cell r="AY210"/>
          <cell r="AZ210"/>
          <cell r="BA210"/>
          <cell r="BB210"/>
          <cell r="BC210"/>
          <cell r="BD210"/>
          <cell r="BE210"/>
          <cell r="BF210"/>
          <cell r="BG210"/>
          <cell r="BH210"/>
          <cell r="BI210"/>
          <cell r="BJ210"/>
          <cell r="BK210"/>
          <cell r="BL210"/>
          <cell r="BM210"/>
          <cell r="BN210"/>
          <cell r="BO210"/>
          <cell r="BP210"/>
          <cell r="BQ210"/>
          <cell r="BR210"/>
          <cell r="BS210"/>
          <cell r="BT210"/>
          <cell r="BU210"/>
          <cell r="BV210"/>
          <cell r="BW210"/>
          <cell r="BX210"/>
          <cell r="BY210"/>
          <cell r="BZ210"/>
          <cell r="CA210"/>
          <cell r="CB210"/>
          <cell r="CC210"/>
          <cell r="CD210"/>
          <cell r="CE210"/>
          <cell r="CF210"/>
          <cell r="CG210"/>
          <cell r="CH210"/>
          <cell r="CI210"/>
          <cell r="CJ210"/>
          <cell r="CK210"/>
          <cell r="CL210"/>
          <cell r="CM210"/>
          <cell r="CN210"/>
        </row>
        <row r="211">
          <cell r="B211">
            <v>0</v>
          </cell>
          <cell r="C211">
            <v>0</v>
          </cell>
          <cell r="D211">
            <v>1</v>
          </cell>
          <cell r="E211">
            <v>0</v>
          </cell>
          <cell r="F211">
            <v>0</v>
          </cell>
          <cell r="G211">
            <v>0</v>
          </cell>
          <cell r="H211">
            <v>1</v>
          </cell>
          <cell r="I211"/>
          <cell r="J211"/>
          <cell r="K211">
            <v>1</v>
          </cell>
          <cell r="L211"/>
          <cell r="M211"/>
          <cell r="N211"/>
          <cell r="O211">
            <v>1</v>
          </cell>
          <cell r="P211"/>
          <cell r="Q211"/>
          <cell r="R211"/>
          <cell r="S211"/>
          <cell r="T211"/>
          <cell r="U211"/>
          <cell r="V211">
            <v>0</v>
          </cell>
          <cell r="W211"/>
          <cell r="X211"/>
          <cell r="Y211"/>
          <cell r="Z211"/>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cell r="BY211"/>
          <cell r="BZ211"/>
          <cell r="CA211"/>
          <cell r="CB211"/>
          <cell r="CC211"/>
          <cell r="CD211"/>
          <cell r="CE211"/>
          <cell r="CF211"/>
          <cell r="CG211"/>
          <cell r="CH211"/>
          <cell r="CI211"/>
          <cell r="CJ211"/>
          <cell r="CK211"/>
          <cell r="CL211"/>
          <cell r="CM211"/>
          <cell r="CN211"/>
        </row>
        <row r="212">
          <cell r="B212">
            <v>0</v>
          </cell>
          <cell r="C212">
            <v>0</v>
          </cell>
          <cell r="D212">
            <v>1</v>
          </cell>
          <cell r="E212">
            <v>1</v>
          </cell>
          <cell r="F212">
            <v>0</v>
          </cell>
          <cell r="G212">
            <v>1</v>
          </cell>
          <cell r="H212">
            <v>3</v>
          </cell>
          <cell r="I212"/>
          <cell r="J212"/>
          <cell r="K212"/>
          <cell r="L212">
            <v>1</v>
          </cell>
          <cell r="M212"/>
          <cell r="N212"/>
          <cell r="O212">
            <v>1</v>
          </cell>
          <cell r="P212"/>
          <cell r="Q212"/>
          <cell r="R212">
            <v>1</v>
          </cell>
          <cell r="S212"/>
          <cell r="T212"/>
          <cell r="U212">
            <v>1</v>
          </cell>
          <cell r="V212">
            <v>2</v>
          </cell>
          <cell r="W212"/>
          <cell r="X212"/>
          <cell r="Y212"/>
          <cell r="Z212"/>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cell r="BY212"/>
          <cell r="BZ212"/>
          <cell r="CA212"/>
          <cell r="CB212"/>
          <cell r="CC212"/>
          <cell r="CD212"/>
          <cell r="CE212"/>
          <cell r="CF212"/>
          <cell r="CG212"/>
          <cell r="CH212"/>
          <cell r="CI212"/>
          <cell r="CJ212"/>
          <cell r="CK212"/>
          <cell r="CL212"/>
          <cell r="CM212"/>
          <cell r="CN212"/>
        </row>
        <row r="213">
          <cell r="B213">
            <v>1</v>
          </cell>
          <cell r="C213">
            <v>1</v>
          </cell>
          <cell r="D213">
            <v>0</v>
          </cell>
          <cell r="E213">
            <v>0</v>
          </cell>
          <cell r="F213">
            <v>1</v>
          </cell>
          <cell r="G213">
            <v>0</v>
          </cell>
          <cell r="H213">
            <v>3</v>
          </cell>
          <cell r="I213">
            <v>1</v>
          </cell>
          <cell r="J213"/>
          <cell r="K213"/>
          <cell r="L213"/>
          <cell r="M213"/>
          <cell r="N213"/>
          <cell r="O213">
            <v>1</v>
          </cell>
          <cell r="P213"/>
          <cell r="Q213">
            <v>1</v>
          </cell>
          <cell r="R213"/>
          <cell r="S213"/>
          <cell r="T213">
            <v>1</v>
          </cell>
          <cell r="U213"/>
          <cell r="V213">
            <v>2</v>
          </cell>
          <cell r="W213"/>
          <cell r="X213"/>
          <cell r="Y213"/>
          <cell r="Z213"/>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cell r="BY213"/>
          <cell r="BZ213"/>
          <cell r="CA213"/>
          <cell r="CB213"/>
          <cell r="CC213"/>
          <cell r="CD213"/>
          <cell r="CE213"/>
          <cell r="CF213"/>
          <cell r="CG213"/>
          <cell r="CH213"/>
          <cell r="CI213"/>
          <cell r="CJ213"/>
          <cell r="CK213"/>
          <cell r="CL213"/>
          <cell r="CM213"/>
          <cell r="CN213"/>
        </row>
        <row r="214">
          <cell r="B214">
            <v>0</v>
          </cell>
          <cell r="C214">
            <v>0</v>
          </cell>
          <cell r="D214">
            <v>0</v>
          </cell>
          <cell r="E214">
            <v>0</v>
          </cell>
          <cell r="F214">
            <v>0</v>
          </cell>
          <cell r="G214">
            <v>0</v>
          </cell>
          <cell r="H214">
            <v>0</v>
          </cell>
          <cell r="I214"/>
          <cell r="J214"/>
          <cell r="K214"/>
          <cell r="L214"/>
          <cell r="M214"/>
          <cell r="N214"/>
          <cell r="O214">
            <v>0</v>
          </cell>
          <cell r="P214"/>
          <cell r="Q214"/>
          <cell r="R214"/>
          <cell r="S214"/>
          <cell r="T214"/>
          <cell r="U214"/>
          <cell r="V214">
            <v>0</v>
          </cell>
          <cell r="W214"/>
          <cell r="X214"/>
          <cell r="Y214"/>
          <cell r="Z214"/>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cell r="CC214"/>
          <cell r="CD214"/>
          <cell r="CE214"/>
          <cell r="CF214"/>
          <cell r="CG214"/>
          <cell r="CH214"/>
          <cell r="CI214"/>
          <cell r="CJ214"/>
          <cell r="CK214"/>
          <cell r="CL214"/>
          <cell r="CM214"/>
          <cell r="CN214"/>
        </row>
        <row r="215">
          <cell r="B215">
            <v>0</v>
          </cell>
          <cell r="C215">
            <v>0</v>
          </cell>
          <cell r="D215">
            <v>0</v>
          </cell>
          <cell r="E215">
            <v>0</v>
          </cell>
          <cell r="F215">
            <v>0</v>
          </cell>
          <cell r="G215">
            <v>0</v>
          </cell>
          <cell r="H215">
            <v>0</v>
          </cell>
          <cell r="I215"/>
          <cell r="J215"/>
          <cell r="K215"/>
          <cell r="L215"/>
          <cell r="M215"/>
          <cell r="N215"/>
          <cell r="O215">
            <v>0</v>
          </cell>
          <cell r="P215"/>
          <cell r="Q215"/>
          <cell r="R215"/>
          <cell r="S215"/>
          <cell r="T215"/>
          <cell r="U215"/>
          <cell r="V215">
            <v>0</v>
          </cell>
          <cell r="W215"/>
          <cell r="X215"/>
          <cell r="Y215"/>
          <cell r="Z215"/>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cell r="CH215"/>
          <cell r="CI215"/>
          <cell r="CJ215"/>
          <cell r="CK215"/>
          <cell r="CL215"/>
          <cell r="CM215"/>
          <cell r="CN215"/>
        </row>
        <row r="216">
          <cell r="B216">
            <v>0</v>
          </cell>
          <cell r="C216">
            <v>0</v>
          </cell>
          <cell r="D216">
            <v>0</v>
          </cell>
          <cell r="E216">
            <v>0</v>
          </cell>
          <cell r="F216">
            <v>0</v>
          </cell>
          <cell r="G216">
            <v>0</v>
          </cell>
          <cell r="H216">
            <v>0</v>
          </cell>
          <cell r="I216"/>
          <cell r="J216"/>
          <cell r="K216"/>
          <cell r="L216"/>
          <cell r="M216"/>
          <cell r="N216"/>
          <cell r="O216">
            <v>0</v>
          </cell>
          <cell r="P216"/>
          <cell r="Q216"/>
          <cell r="R216"/>
          <cell r="S216"/>
          <cell r="T216"/>
          <cell r="U216"/>
          <cell r="V216">
            <v>0</v>
          </cell>
          <cell r="W216"/>
          <cell r="X216"/>
          <cell r="Y216"/>
          <cell r="Z216"/>
          <cell r="AA216"/>
          <cell r="AB216"/>
          <cell r="AC216"/>
          <cell r="AD216"/>
          <cell r="AE216"/>
          <cell r="AF216"/>
          <cell r="AG216"/>
          <cell r="AH216"/>
          <cell r="AI216"/>
          <cell r="AJ216"/>
          <cell r="AK216"/>
          <cell r="AL216"/>
          <cell r="AM216"/>
          <cell r="AN216"/>
          <cell r="AO216"/>
          <cell r="AP216"/>
          <cell r="AQ216"/>
          <cell r="AR216"/>
          <cell r="AS216"/>
          <cell r="AT216"/>
          <cell r="AU216"/>
          <cell r="AV216"/>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cell r="BY216"/>
          <cell r="BZ216"/>
          <cell r="CA216"/>
          <cell r="CB216"/>
          <cell r="CC216"/>
          <cell r="CD216"/>
          <cell r="CE216"/>
          <cell r="CF216"/>
          <cell r="CG216"/>
          <cell r="CH216"/>
          <cell r="CI216"/>
          <cell r="CJ216"/>
          <cell r="CK216"/>
          <cell r="CL216"/>
          <cell r="CM216"/>
          <cell r="CN216"/>
        </row>
        <row r="217">
          <cell r="B217">
            <v>0</v>
          </cell>
          <cell r="C217">
            <v>0</v>
          </cell>
          <cell r="D217">
            <v>1</v>
          </cell>
          <cell r="E217">
            <v>1</v>
          </cell>
          <cell r="F217">
            <v>0</v>
          </cell>
          <cell r="G217">
            <v>0</v>
          </cell>
          <cell r="H217">
            <v>2</v>
          </cell>
          <cell r="I217"/>
          <cell r="J217"/>
          <cell r="K217">
            <v>1</v>
          </cell>
          <cell r="L217"/>
          <cell r="M217"/>
          <cell r="N217"/>
          <cell r="O217">
            <v>1</v>
          </cell>
          <cell r="P217"/>
          <cell r="Q217"/>
          <cell r="R217"/>
          <cell r="S217">
            <v>1</v>
          </cell>
          <cell r="T217"/>
          <cell r="U217"/>
          <cell r="V217">
            <v>1</v>
          </cell>
          <cell r="W217"/>
          <cell r="X217"/>
          <cell r="Y217"/>
          <cell r="Z217"/>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cell r="BY217"/>
          <cell r="BZ217"/>
          <cell r="CA217"/>
          <cell r="CB217"/>
          <cell r="CC217"/>
          <cell r="CD217"/>
          <cell r="CE217"/>
          <cell r="CF217"/>
          <cell r="CG217"/>
          <cell r="CH217"/>
          <cell r="CI217"/>
          <cell r="CJ217"/>
          <cell r="CK217"/>
          <cell r="CL217"/>
          <cell r="CM217"/>
          <cell r="CN217"/>
        </row>
        <row r="218">
          <cell r="B218">
            <v>0</v>
          </cell>
          <cell r="C218">
            <v>1</v>
          </cell>
          <cell r="D218">
            <v>0</v>
          </cell>
          <cell r="E218">
            <v>0</v>
          </cell>
          <cell r="F218">
            <v>0</v>
          </cell>
          <cell r="G218">
            <v>0</v>
          </cell>
          <cell r="H218">
            <v>1</v>
          </cell>
          <cell r="I218"/>
          <cell r="J218"/>
          <cell r="K218"/>
          <cell r="L218"/>
          <cell r="M218"/>
          <cell r="N218"/>
          <cell r="O218">
            <v>0</v>
          </cell>
          <cell r="P218"/>
          <cell r="Q218">
            <v>1</v>
          </cell>
          <cell r="R218"/>
          <cell r="S218"/>
          <cell r="T218"/>
          <cell r="U218"/>
          <cell r="V218">
            <v>1</v>
          </cell>
          <cell r="W218"/>
          <cell r="X218"/>
          <cell r="Y218"/>
          <cell r="Z218"/>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cell r="BY218"/>
          <cell r="BZ218"/>
          <cell r="CA218"/>
          <cell r="CB218"/>
          <cell r="CC218"/>
          <cell r="CD218"/>
          <cell r="CE218"/>
          <cell r="CF218"/>
          <cell r="CG218"/>
          <cell r="CH218"/>
          <cell r="CI218"/>
          <cell r="CJ218"/>
          <cell r="CK218"/>
          <cell r="CL218"/>
          <cell r="CM218"/>
          <cell r="CN218"/>
        </row>
        <row r="219">
          <cell r="B219">
            <v>0</v>
          </cell>
          <cell r="C219">
            <v>0</v>
          </cell>
          <cell r="D219">
            <v>0</v>
          </cell>
          <cell r="E219">
            <v>0</v>
          </cell>
          <cell r="F219">
            <v>0</v>
          </cell>
          <cell r="G219">
            <v>0</v>
          </cell>
          <cell r="H219">
            <v>0</v>
          </cell>
          <cell r="I219"/>
          <cell r="J219"/>
          <cell r="K219"/>
          <cell r="L219"/>
          <cell r="M219"/>
          <cell r="N219"/>
          <cell r="O219">
            <v>0</v>
          </cell>
          <cell r="P219"/>
          <cell r="Q219"/>
          <cell r="R219"/>
          <cell r="S219"/>
          <cell r="T219"/>
          <cell r="U219"/>
          <cell r="V219">
            <v>0</v>
          </cell>
          <cell r="W219"/>
          <cell r="X219"/>
          <cell r="Y219"/>
          <cell r="Z219"/>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cell r="BY219"/>
          <cell r="BZ219"/>
          <cell r="CA219"/>
          <cell r="CB219"/>
          <cell r="CC219"/>
          <cell r="CD219"/>
          <cell r="CE219"/>
          <cell r="CF219"/>
          <cell r="CG219"/>
          <cell r="CH219"/>
          <cell r="CI219"/>
          <cell r="CJ219"/>
          <cell r="CK219"/>
          <cell r="CL219"/>
          <cell r="CM219"/>
          <cell r="CN219"/>
        </row>
        <row r="220">
          <cell r="B220">
            <v>2</v>
          </cell>
          <cell r="C220">
            <v>0</v>
          </cell>
          <cell r="D220">
            <v>0</v>
          </cell>
          <cell r="E220">
            <v>0</v>
          </cell>
          <cell r="F220">
            <v>0</v>
          </cell>
          <cell r="G220">
            <v>0</v>
          </cell>
          <cell r="H220">
            <v>2</v>
          </cell>
          <cell r="I220">
            <v>1</v>
          </cell>
          <cell r="J220"/>
          <cell r="K220"/>
          <cell r="L220"/>
          <cell r="M220"/>
          <cell r="N220"/>
          <cell r="O220">
            <v>1</v>
          </cell>
          <cell r="P220">
            <v>1</v>
          </cell>
          <cell r="Q220"/>
          <cell r="R220"/>
          <cell r="S220"/>
          <cell r="T220"/>
          <cell r="U220"/>
          <cell r="V220">
            <v>1</v>
          </cell>
          <cell r="W220"/>
          <cell r="X220"/>
          <cell r="Y220"/>
          <cell r="Z220"/>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cell r="CC220"/>
          <cell r="CD220"/>
          <cell r="CE220"/>
          <cell r="CF220"/>
          <cell r="CG220"/>
          <cell r="CH220"/>
          <cell r="CI220"/>
          <cell r="CJ220"/>
          <cell r="CK220"/>
          <cell r="CL220"/>
          <cell r="CM220"/>
          <cell r="CN220"/>
        </row>
        <row r="221">
          <cell r="B221">
            <v>0</v>
          </cell>
          <cell r="C221">
            <v>0</v>
          </cell>
          <cell r="D221">
            <v>0</v>
          </cell>
          <cell r="E221">
            <v>0</v>
          </cell>
          <cell r="F221">
            <v>0</v>
          </cell>
          <cell r="G221">
            <v>0</v>
          </cell>
          <cell r="H221">
            <v>0</v>
          </cell>
          <cell r="I221"/>
          <cell r="J221"/>
          <cell r="K221"/>
          <cell r="L221"/>
          <cell r="M221"/>
          <cell r="N221"/>
          <cell r="O221">
            <v>0</v>
          </cell>
          <cell r="P221"/>
          <cell r="Q221"/>
          <cell r="R221"/>
          <cell r="S221"/>
          <cell r="T221"/>
          <cell r="U221"/>
          <cell r="V221">
            <v>0</v>
          </cell>
          <cell r="W221"/>
          <cell r="X221"/>
          <cell r="Y221"/>
          <cell r="Z221"/>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cell r="CC221"/>
          <cell r="CD221"/>
          <cell r="CE221"/>
          <cell r="CF221"/>
          <cell r="CG221"/>
          <cell r="CH221"/>
          <cell r="CI221"/>
          <cell r="CJ221"/>
          <cell r="CK221"/>
          <cell r="CL221"/>
          <cell r="CM221"/>
          <cell r="CN221"/>
        </row>
        <row r="222">
          <cell r="B222">
            <v>0</v>
          </cell>
          <cell r="C222">
            <v>0</v>
          </cell>
          <cell r="D222">
            <v>0</v>
          </cell>
          <cell r="E222">
            <v>0</v>
          </cell>
          <cell r="F222">
            <v>0</v>
          </cell>
          <cell r="G222">
            <v>0</v>
          </cell>
          <cell r="H222">
            <v>0</v>
          </cell>
          <cell r="I222"/>
          <cell r="J222"/>
          <cell r="K222"/>
          <cell r="L222"/>
          <cell r="M222"/>
          <cell r="N222"/>
          <cell r="O222">
            <v>0</v>
          </cell>
          <cell r="P222"/>
          <cell r="Q222"/>
          <cell r="R222"/>
          <cell r="S222"/>
          <cell r="T222"/>
          <cell r="U222"/>
          <cell r="V222">
            <v>0</v>
          </cell>
          <cell r="W222"/>
          <cell r="X222"/>
          <cell r="Y222"/>
          <cell r="Z222"/>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cell r="CH222"/>
          <cell r="CI222"/>
          <cell r="CJ222"/>
          <cell r="CK222"/>
          <cell r="CL222"/>
          <cell r="CM222"/>
          <cell r="CN222"/>
        </row>
        <row r="223">
          <cell r="B223">
            <v>1</v>
          </cell>
          <cell r="C223">
            <v>0</v>
          </cell>
          <cell r="D223">
            <v>0</v>
          </cell>
          <cell r="E223">
            <v>0</v>
          </cell>
          <cell r="F223">
            <v>0</v>
          </cell>
          <cell r="G223">
            <v>0</v>
          </cell>
          <cell r="H223">
            <v>1</v>
          </cell>
          <cell r="I223"/>
          <cell r="J223"/>
          <cell r="K223"/>
          <cell r="L223"/>
          <cell r="M223"/>
          <cell r="N223"/>
          <cell r="O223">
            <v>0</v>
          </cell>
          <cell r="P223">
            <v>1</v>
          </cell>
          <cell r="Q223"/>
          <cell r="R223"/>
          <cell r="S223"/>
          <cell r="T223"/>
          <cell r="U223"/>
          <cell r="V223">
            <v>1</v>
          </cell>
          <cell r="W223"/>
          <cell r="X223"/>
          <cell r="Y223"/>
          <cell r="Z223"/>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cell r="CH223"/>
          <cell r="CI223"/>
          <cell r="CJ223"/>
          <cell r="CK223"/>
          <cell r="CL223"/>
          <cell r="CM223"/>
          <cell r="CN223"/>
        </row>
        <row r="224">
          <cell r="B224">
            <v>0</v>
          </cell>
          <cell r="C224">
            <v>1</v>
          </cell>
          <cell r="D224">
            <v>0</v>
          </cell>
          <cell r="E224">
            <v>0</v>
          </cell>
          <cell r="F224">
            <v>0</v>
          </cell>
          <cell r="G224">
            <v>0</v>
          </cell>
          <cell r="H224">
            <v>1</v>
          </cell>
          <cell r="I224"/>
          <cell r="J224"/>
          <cell r="K224"/>
          <cell r="L224"/>
          <cell r="M224"/>
          <cell r="N224"/>
          <cell r="O224">
            <v>0</v>
          </cell>
          <cell r="P224"/>
          <cell r="Q224">
            <v>1</v>
          </cell>
          <cell r="R224"/>
          <cell r="S224"/>
          <cell r="T224"/>
          <cell r="U224"/>
          <cell r="V224">
            <v>1</v>
          </cell>
          <cell r="W224"/>
          <cell r="X224"/>
          <cell r="Y224"/>
          <cell r="Z224"/>
          <cell r="AA224"/>
          <cell r="AB224"/>
          <cell r="AC224"/>
          <cell r="AD224"/>
          <cell r="AE224"/>
          <cell r="AF224"/>
          <cell r="AG224"/>
          <cell r="AH224"/>
          <cell r="AI224"/>
          <cell r="AJ224"/>
          <cell r="AK224"/>
          <cell r="AL224"/>
          <cell r="AM224"/>
          <cell r="AN224"/>
          <cell r="AO224"/>
          <cell r="AP224"/>
          <cell r="AQ224"/>
          <cell r="AR224"/>
          <cell r="AS224"/>
          <cell r="AT224"/>
          <cell r="AU224"/>
          <cell r="AV224"/>
          <cell r="AW224"/>
          <cell r="AX224"/>
          <cell r="AY224"/>
          <cell r="AZ224"/>
          <cell r="BA224"/>
          <cell r="BB224"/>
          <cell r="BC224"/>
          <cell r="BD224"/>
          <cell r="BE224"/>
          <cell r="BF224"/>
          <cell r="BG224"/>
          <cell r="BH224"/>
          <cell r="BI224"/>
          <cell r="BJ224"/>
          <cell r="BK224"/>
          <cell r="BL224"/>
          <cell r="BM224"/>
          <cell r="BN224"/>
          <cell r="BO224"/>
          <cell r="BP224"/>
          <cell r="BQ224"/>
          <cell r="BR224"/>
          <cell r="BS224"/>
          <cell r="BT224"/>
          <cell r="BU224"/>
          <cell r="BV224"/>
          <cell r="BW224"/>
          <cell r="BX224"/>
          <cell r="BY224"/>
          <cell r="BZ224"/>
          <cell r="CA224"/>
          <cell r="CB224"/>
          <cell r="CC224"/>
          <cell r="CD224"/>
          <cell r="CE224"/>
          <cell r="CF224"/>
          <cell r="CG224"/>
          <cell r="CH224"/>
          <cell r="CI224"/>
          <cell r="CJ224"/>
          <cell r="CK224"/>
          <cell r="CL224"/>
          <cell r="CM224"/>
          <cell r="CN224"/>
        </row>
        <row r="225">
          <cell r="B225">
            <v>0</v>
          </cell>
          <cell r="C225">
            <v>0</v>
          </cell>
          <cell r="D225">
            <v>0</v>
          </cell>
          <cell r="E225">
            <v>0</v>
          </cell>
          <cell r="F225">
            <v>0</v>
          </cell>
          <cell r="G225">
            <v>0</v>
          </cell>
          <cell r="H225">
            <v>0</v>
          </cell>
          <cell r="I225"/>
          <cell r="J225"/>
          <cell r="K225"/>
          <cell r="L225"/>
          <cell r="M225"/>
          <cell r="N225"/>
          <cell r="O225">
            <v>0</v>
          </cell>
          <cell r="P225"/>
          <cell r="Q225"/>
          <cell r="R225"/>
          <cell r="S225"/>
          <cell r="T225"/>
          <cell r="U225"/>
          <cell r="V225">
            <v>0</v>
          </cell>
          <cell r="W225"/>
          <cell r="X225"/>
          <cell r="Y225"/>
          <cell r="Z225"/>
          <cell r="AA225"/>
          <cell r="AB225"/>
          <cell r="AC225"/>
          <cell r="AD225"/>
          <cell r="AE225"/>
          <cell r="AF225"/>
          <cell r="AG225"/>
          <cell r="AH225"/>
          <cell r="AI225"/>
          <cell r="AJ225"/>
          <cell r="AK225"/>
          <cell r="AL225"/>
          <cell r="AM225"/>
          <cell r="AN225"/>
          <cell r="AO225"/>
          <cell r="AP225"/>
          <cell r="AQ225"/>
          <cell r="AR225"/>
          <cell r="AS225"/>
          <cell r="AT225"/>
          <cell r="AU225"/>
          <cell r="AV225"/>
          <cell r="AW225"/>
          <cell r="AX225"/>
          <cell r="AY225"/>
          <cell r="AZ225"/>
          <cell r="BA225"/>
          <cell r="BB225"/>
          <cell r="BC225"/>
          <cell r="BD225"/>
          <cell r="BE225"/>
          <cell r="BF225"/>
          <cell r="BG225"/>
          <cell r="BH225"/>
          <cell r="BI225"/>
          <cell r="BJ225"/>
          <cell r="BK225"/>
          <cell r="BL225"/>
          <cell r="BM225"/>
          <cell r="BN225"/>
          <cell r="BO225"/>
          <cell r="BP225"/>
          <cell r="BQ225"/>
          <cell r="BR225"/>
          <cell r="BS225"/>
          <cell r="BT225"/>
          <cell r="BU225"/>
          <cell r="BV225"/>
          <cell r="BW225"/>
          <cell r="BX225"/>
          <cell r="BY225"/>
          <cell r="BZ225"/>
          <cell r="CA225"/>
          <cell r="CB225"/>
          <cell r="CC225"/>
          <cell r="CD225"/>
          <cell r="CE225"/>
          <cell r="CF225"/>
          <cell r="CG225"/>
          <cell r="CH225"/>
          <cell r="CI225"/>
          <cell r="CJ225"/>
          <cell r="CK225"/>
          <cell r="CL225"/>
          <cell r="CM225"/>
          <cell r="CN225"/>
        </row>
        <row r="226">
          <cell r="B226">
            <v>0</v>
          </cell>
          <cell r="C226">
            <v>0</v>
          </cell>
          <cell r="D226">
            <v>0</v>
          </cell>
          <cell r="E226">
            <v>0</v>
          </cell>
          <cell r="F226">
            <v>0</v>
          </cell>
          <cell r="G226">
            <v>0</v>
          </cell>
          <cell r="H226">
            <v>0</v>
          </cell>
          <cell r="I226"/>
          <cell r="J226"/>
          <cell r="K226"/>
          <cell r="L226"/>
          <cell r="M226"/>
          <cell r="N226"/>
          <cell r="O226">
            <v>0</v>
          </cell>
          <cell r="P226"/>
          <cell r="Q226"/>
          <cell r="R226"/>
          <cell r="S226"/>
          <cell r="T226"/>
          <cell r="U226"/>
          <cell r="V226">
            <v>0</v>
          </cell>
          <cell r="W226"/>
          <cell r="X226"/>
          <cell r="Y226"/>
          <cell r="Z226"/>
          <cell r="AA226"/>
          <cell r="AB226"/>
          <cell r="AC226"/>
          <cell r="AD226"/>
          <cell r="AE226"/>
          <cell r="AF226"/>
          <cell r="AG226"/>
          <cell r="AH226"/>
          <cell r="AI226"/>
          <cell r="AJ226"/>
          <cell r="AK226"/>
          <cell r="AL226"/>
          <cell r="AM226"/>
          <cell r="AN226"/>
          <cell r="AO226"/>
          <cell r="AP226"/>
          <cell r="AQ226"/>
          <cell r="AR226"/>
          <cell r="AS226"/>
          <cell r="AT226"/>
          <cell r="AU226"/>
          <cell r="AV226"/>
          <cell r="AW226"/>
          <cell r="AX226"/>
          <cell r="AY226"/>
          <cell r="AZ226"/>
          <cell r="BA226"/>
          <cell r="BB226"/>
          <cell r="BC226"/>
          <cell r="BD226"/>
          <cell r="BE226"/>
          <cell r="BF226"/>
          <cell r="BG226"/>
          <cell r="BH226"/>
          <cell r="BI226"/>
          <cell r="BJ226"/>
          <cell r="BK226"/>
          <cell r="BL226"/>
          <cell r="BM226"/>
          <cell r="BN226"/>
          <cell r="BO226"/>
          <cell r="BP226"/>
          <cell r="BQ226"/>
          <cell r="BR226"/>
          <cell r="BS226"/>
          <cell r="BT226"/>
          <cell r="BU226"/>
          <cell r="BV226"/>
          <cell r="BW226"/>
          <cell r="BX226"/>
          <cell r="BY226"/>
          <cell r="BZ226"/>
          <cell r="CA226"/>
          <cell r="CB226"/>
          <cell r="CC226"/>
          <cell r="CD226"/>
          <cell r="CE226"/>
          <cell r="CF226"/>
          <cell r="CG226"/>
          <cell r="CH226"/>
          <cell r="CI226"/>
          <cell r="CJ226"/>
          <cell r="CK226"/>
          <cell r="CL226"/>
          <cell r="CM226"/>
          <cell r="CN226"/>
        </row>
        <row r="227">
          <cell r="B227">
            <v>0</v>
          </cell>
          <cell r="C227">
            <v>0</v>
          </cell>
          <cell r="D227">
            <v>0</v>
          </cell>
          <cell r="E227">
            <v>0</v>
          </cell>
          <cell r="F227">
            <v>0</v>
          </cell>
          <cell r="G227">
            <v>0</v>
          </cell>
          <cell r="H227">
            <v>0</v>
          </cell>
          <cell r="I227"/>
          <cell r="J227"/>
          <cell r="K227"/>
          <cell r="L227"/>
          <cell r="M227"/>
          <cell r="N227"/>
          <cell r="O227">
            <v>0</v>
          </cell>
          <cell r="P227"/>
          <cell r="Q227"/>
          <cell r="R227"/>
          <cell r="S227"/>
          <cell r="T227"/>
          <cell r="U227"/>
          <cell r="V227">
            <v>0</v>
          </cell>
          <cell r="W227"/>
          <cell r="X227"/>
          <cell r="Y227"/>
          <cell r="Z227"/>
          <cell r="AA227"/>
          <cell r="AB227"/>
          <cell r="AC227"/>
          <cell r="AD227"/>
          <cell r="AE227"/>
          <cell r="AF227"/>
          <cell r="AG227"/>
          <cell r="AH227"/>
          <cell r="AI227"/>
          <cell r="AJ227"/>
          <cell r="AK227"/>
          <cell r="AL227"/>
          <cell r="AM227"/>
          <cell r="AN227"/>
          <cell r="AO227"/>
          <cell r="AP227"/>
          <cell r="AQ227"/>
          <cell r="AR227"/>
          <cell r="AS227"/>
          <cell r="AT227"/>
          <cell r="AU227"/>
          <cell r="AV227"/>
          <cell r="AW227"/>
          <cell r="AX227"/>
          <cell r="AY227"/>
          <cell r="AZ227"/>
          <cell r="BA227"/>
          <cell r="BB227"/>
          <cell r="BC227"/>
          <cell r="BD227"/>
          <cell r="BE227"/>
          <cell r="BF227"/>
          <cell r="BG227"/>
          <cell r="BH227"/>
          <cell r="BI227"/>
          <cell r="BJ227"/>
          <cell r="BK227"/>
          <cell r="BL227"/>
          <cell r="BM227"/>
          <cell r="BN227"/>
          <cell r="BO227"/>
          <cell r="BP227"/>
          <cell r="BQ227"/>
          <cell r="BR227"/>
          <cell r="BS227"/>
          <cell r="BT227"/>
          <cell r="BU227"/>
          <cell r="BV227"/>
          <cell r="BW227"/>
          <cell r="BX227"/>
          <cell r="BY227"/>
          <cell r="BZ227"/>
          <cell r="CA227"/>
          <cell r="CB227"/>
          <cell r="CC227"/>
          <cell r="CD227"/>
          <cell r="CE227"/>
          <cell r="CF227"/>
          <cell r="CG227"/>
          <cell r="CH227"/>
          <cell r="CI227"/>
          <cell r="CJ227"/>
          <cell r="CK227"/>
          <cell r="CL227"/>
          <cell r="CM227"/>
          <cell r="CN227"/>
        </row>
        <row r="228">
          <cell r="B228">
            <v>0</v>
          </cell>
          <cell r="C228">
            <v>0</v>
          </cell>
          <cell r="D228">
            <v>0</v>
          </cell>
          <cell r="E228">
            <v>0</v>
          </cell>
          <cell r="F228">
            <v>0</v>
          </cell>
          <cell r="G228">
            <v>0</v>
          </cell>
          <cell r="H228">
            <v>0</v>
          </cell>
          <cell r="I228"/>
          <cell r="J228"/>
          <cell r="K228"/>
          <cell r="L228"/>
          <cell r="M228"/>
          <cell r="N228"/>
          <cell r="O228">
            <v>0</v>
          </cell>
          <cell r="P228"/>
          <cell r="Q228"/>
          <cell r="R228"/>
          <cell r="S228"/>
          <cell r="T228"/>
          <cell r="U228"/>
          <cell r="V228">
            <v>0</v>
          </cell>
          <cell r="W228"/>
          <cell r="X228"/>
          <cell r="Y228"/>
          <cell r="Z228"/>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row>
        <row r="229">
          <cell r="B229">
            <v>0</v>
          </cell>
          <cell r="C229">
            <v>0</v>
          </cell>
          <cell r="D229">
            <v>0</v>
          </cell>
          <cell r="E229">
            <v>0</v>
          </cell>
          <cell r="F229">
            <v>0</v>
          </cell>
          <cell r="G229">
            <v>0</v>
          </cell>
          <cell r="H229">
            <v>0</v>
          </cell>
          <cell r="I229"/>
          <cell r="J229"/>
          <cell r="K229"/>
          <cell r="L229"/>
          <cell r="M229"/>
          <cell r="N229"/>
          <cell r="O229">
            <v>0</v>
          </cell>
          <cell r="P229"/>
          <cell r="Q229"/>
          <cell r="R229"/>
          <cell r="S229"/>
          <cell r="T229"/>
          <cell r="U229"/>
          <cell r="V229">
            <v>0</v>
          </cell>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cell r="H390"/>
          <cell r="I390"/>
          <cell r="J390"/>
          <cell r="K390"/>
          <cell r="L390"/>
          <cell r="M390"/>
          <cell r="N390"/>
          <cell r="O390"/>
          <cell r="P390"/>
          <cell r="Q390"/>
          <cell r="R390"/>
        </row>
        <row r="391">
          <cell r="G391">
            <v>3</v>
          </cell>
          <cell r="H391"/>
          <cell r="I391"/>
          <cell r="J391"/>
          <cell r="K391"/>
          <cell r="L391"/>
          <cell r="M391"/>
          <cell r="N391"/>
          <cell r="O391"/>
          <cell r="P391"/>
          <cell r="Q391"/>
          <cell r="R391"/>
        </row>
        <row r="392">
          <cell r="G392">
            <v>2</v>
          </cell>
          <cell r="H392"/>
          <cell r="I392"/>
          <cell r="J392"/>
          <cell r="K392"/>
          <cell r="L392"/>
          <cell r="M392"/>
          <cell r="N392"/>
          <cell r="O392"/>
          <cell r="P392"/>
          <cell r="Q392"/>
          <cell r="R392"/>
        </row>
        <row r="393">
          <cell r="G393">
            <v>1</v>
          </cell>
          <cell r="H393"/>
          <cell r="I393"/>
          <cell r="J393"/>
          <cell r="K393"/>
          <cell r="L393"/>
          <cell r="M393"/>
          <cell r="N393"/>
          <cell r="O393"/>
          <cell r="P393"/>
          <cell r="Q393"/>
          <cell r="R393"/>
        </row>
        <row r="394">
          <cell r="G394">
            <v>1</v>
          </cell>
          <cell r="H394"/>
          <cell r="I394"/>
          <cell r="J394"/>
          <cell r="K394"/>
          <cell r="L394"/>
          <cell r="M394"/>
          <cell r="N394"/>
          <cell r="O394"/>
          <cell r="P394"/>
          <cell r="Q394"/>
          <cell r="R394"/>
        </row>
        <row r="395">
          <cell r="G395">
            <v>7</v>
          </cell>
          <cell r="H395">
            <v>0</v>
          </cell>
          <cell r="I395"/>
          <cell r="J395"/>
          <cell r="K395"/>
          <cell r="L395"/>
          <cell r="M395"/>
          <cell r="N395"/>
          <cell r="O395"/>
          <cell r="P395"/>
          <cell r="Q395"/>
          <cell r="R395"/>
        </row>
        <row r="398">
          <cell r="G398"/>
          <cell r="H398"/>
          <cell r="I398"/>
          <cell r="J398"/>
          <cell r="K398"/>
          <cell r="L398"/>
          <cell r="M398"/>
          <cell r="N398"/>
          <cell r="O398"/>
          <cell r="P398"/>
          <cell r="Q398"/>
          <cell r="R398"/>
        </row>
        <row r="399">
          <cell r="G399"/>
          <cell r="H399">
            <v>2</v>
          </cell>
          <cell r="I399"/>
          <cell r="J399"/>
          <cell r="K399"/>
          <cell r="L399"/>
          <cell r="M399"/>
          <cell r="N399"/>
          <cell r="O399"/>
          <cell r="P399"/>
          <cell r="Q399"/>
          <cell r="R399"/>
        </row>
        <row r="400">
          <cell r="G400">
            <v>1</v>
          </cell>
          <cell r="H400"/>
          <cell r="I400"/>
          <cell r="J400"/>
          <cell r="K400"/>
          <cell r="L400"/>
          <cell r="M400"/>
          <cell r="N400"/>
          <cell r="O400"/>
          <cell r="P400"/>
          <cell r="Q400"/>
          <cell r="R400"/>
        </row>
        <row r="401">
          <cell r="G401"/>
          <cell r="H401">
            <v>1</v>
          </cell>
          <cell r="I401"/>
          <cell r="J401"/>
          <cell r="K401"/>
          <cell r="L401"/>
          <cell r="M401"/>
          <cell r="N401"/>
          <cell r="O401"/>
          <cell r="P401"/>
          <cell r="Q401"/>
          <cell r="R401"/>
        </row>
        <row r="402">
          <cell r="G402">
            <v>2</v>
          </cell>
          <cell r="H402"/>
          <cell r="I402"/>
          <cell r="J402"/>
          <cell r="K402"/>
          <cell r="L402"/>
          <cell r="M402"/>
          <cell r="N402"/>
          <cell r="O402"/>
          <cell r="P402"/>
          <cell r="Q402"/>
          <cell r="R402"/>
        </row>
        <row r="403">
          <cell r="G403">
            <v>3</v>
          </cell>
          <cell r="H403">
            <v>3</v>
          </cell>
          <cell r="I403"/>
          <cell r="J403"/>
          <cell r="K403"/>
          <cell r="L403"/>
          <cell r="M403"/>
          <cell r="N403"/>
          <cell r="O403"/>
          <cell r="P403"/>
          <cell r="Q403"/>
          <cell r="R403"/>
        </row>
        <row r="406">
          <cell r="G406"/>
          <cell r="H406">
            <v>1</v>
          </cell>
          <cell r="I406"/>
          <cell r="J406"/>
          <cell r="K406"/>
          <cell r="L406"/>
          <cell r="M406"/>
          <cell r="N406"/>
          <cell r="O406"/>
          <cell r="P406"/>
          <cell r="Q406"/>
          <cell r="R406"/>
        </row>
        <row r="407">
          <cell r="G407">
            <v>11</v>
          </cell>
          <cell r="H407">
            <v>1</v>
          </cell>
          <cell r="I407"/>
          <cell r="J407"/>
          <cell r="K407"/>
          <cell r="L407"/>
          <cell r="M407"/>
          <cell r="N407"/>
          <cell r="O407"/>
          <cell r="P407"/>
          <cell r="Q407"/>
          <cell r="R407"/>
        </row>
        <row r="408">
          <cell r="G408">
            <v>4</v>
          </cell>
          <cell r="H408">
            <v>1</v>
          </cell>
          <cell r="I408"/>
          <cell r="J408"/>
          <cell r="K408"/>
          <cell r="L408"/>
          <cell r="M408"/>
          <cell r="N408"/>
          <cell r="O408"/>
          <cell r="P408"/>
          <cell r="Q408"/>
          <cell r="R408"/>
        </row>
        <row r="409">
          <cell r="G409">
            <v>2</v>
          </cell>
          <cell r="H409">
            <v>6</v>
          </cell>
          <cell r="I409"/>
          <cell r="J409"/>
          <cell r="K409"/>
          <cell r="L409"/>
          <cell r="M409"/>
          <cell r="N409"/>
          <cell r="O409"/>
          <cell r="P409"/>
          <cell r="Q409"/>
          <cell r="R409"/>
        </row>
        <row r="410">
          <cell r="G410">
            <v>4</v>
          </cell>
          <cell r="H410">
            <v>4</v>
          </cell>
          <cell r="I410"/>
          <cell r="J410"/>
          <cell r="K410"/>
          <cell r="L410"/>
          <cell r="M410"/>
          <cell r="N410"/>
          <cell r="O410"/>
          <cell r="P410"/>
          <cell r="Q410"/>
          <cell r="R410"/>
        </row>
        <row r="411">
          <cell r="G411">
            <v>21</v>
          </cell>
          <cell r="H411">
            <v>13</v>
          </cell>
          <cell r="I411"/>
          <cell r="J411"/>
          <cell r="K411"/>
          <cell r="L411"/>
          <cell r="M411"/>
          <cell r="N411"/>
          <cell r="O411"/>
          <cell r="P411"/>
          <cell r="Q411"/>
          <cell r="R411"/>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21">
          <cell r="C21">
            <v>0.01</v>
          </cell>
        </row>
      </sheetData>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ow r="6">
          <cell r="A6" t="str">
            <v>Aeroporto</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ow r="2">
          <cell r="D2">
            <v>29.8</v>
          </cell>
        </row>
      </sheetData>
      <sheetData sheetId="286"/>
      <sheetData sheetId="287"/>
      <sheetData sheetId="288"/>
      <sheetData sheetId="289"/>
      <sheetData sheetId="290"/>
      <sheetData sheetId="291"/>
      <sheetData sheetId="292"/>
      <sheetData sheetId="293"/>
      <sheetData sheetId="294"/>
      <sheetData sheetId="295"/>
      <sheetData sheetId="296"/>
      <sheetData sheetId="297">
        <row r="3">
          <cell r="F3">
            <v>43</v>
          </cell>
        </row>
      </sheetData>
      <sheetData sheetId="298"/>
      <sheetData sheetId="299"/>
      <sheetData sheetId="300"/>
      <sheetData sheetId="301"/>
      <sheetData sheetId="302"/>
      <sheetData sheetId="303">
        <row r="4">
          <cell r="C4">
            <v>0.83199999999999996</v>
          </cell>
        </row>
      </sheetData>
      <sheetData sheetId="304"/>
      <sheetData sheetId="305"/>
      <sheetData sheetId="306"/>
      <sheetData sheetId="307">
        <row r="3">
          <cell r="B3">
            <v>1.1014984296158659</v>
          </cell>
        </row>
      </sheetData>
      <sheetData sheetId="308"/>
      <sheetData sheetId="309"/>
      <sheetData sheetId="310"/>
      <sheetData sheetId="311"/>
      <sheetData sheetId="312"/>
      <sheetData sheetId="313"/>
      <sheetData sheetId="314"/>
      <sheetData sheetId="315">
        <row r="2">
          <cell r="D2">
            <v>1.8749999999999999E-3</v>
          </cell>
        </row>
      </sheetData>
      <sheetData sheetId="316"/>
      <sheetData sheetId="317">
        <row r="2">
          <cell r="D2">
            <v>2.12</v>
          </cell>
        </row>
      </sheetData>
      <sheetData sheetId="318"/>
      <sheetData sheetId="319"/>
      <sheetData sheetId="320"/>
      <sheetData sheetId="321">
        <row r="2">
          <cell r="C2">
            <v>97</v>
          </cell>
        </row>
      </sheetData>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 val="Colombia CE"/>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v>0</v>
          </cell>
          <cell r="C37">
            <v>0</v>
          </cell>
          <cell r="D37">
            <v>0</v>
          </cell>
          <cell r="E37">
            <v>0</v>
          </cell>
          <cell r="F37">
            <v>0</v>
          </cell>
          <cell r="G37">
            <v>0</v>
          </cell>
          <cell r="H37">
            <v>0</v>
          </cell>
          <cell r="I37">
            <v>0</v>
          </cell>
          <cell r="J37">
            <v>0</v>
          </cell>
          <cell r="K37">
            <v>0</v>
          </cell>
          <cell r="L37">
            <v>0</v>
          </cell>
          <cell r="M37">
            <v>0</v>
          </cell>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v>0</v>
          </cell>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v>0</v>
          </cell>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v>0</v>
          </cell>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v>0</v>
          </cell>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cell r="W57"/>
          <cell r="X57"/>
          <cell r="Y57"/>
          <cell r="Z57"/>
          <cell r="AA57"/>
          <cell r="AB57"/>
          <cell r="AC57"/>
          <cell r="AD57"/>
          <cell r="AE57"/>
          <cell r="AF57"/>
          <cell r="AG57"/>
          <cell r="AH57"/>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cell r="W58"/>
          <cell r="X58"/>
          <cell r="Y58"/>
          <cell r="Z58"/>
          <cell r="AA58"/>
          <cell r="AB58"/>
          <cell r="AC58"/>
          <cell r="AD58"/>
          <cell r="AE58"/>
          <cell r="AF58"/>
          <cell r="AG58"/>
          <cell r="AH58"/>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cell r="W59"/>
          <cell r="X59"/>
          <cell r="Y59"/>
          <cell r="Z59"/>
          <cell r="AA59"/>
          <cell r="AB59"/>
          <cell r="AC59"/>
          <cell r="AD59"/>
          <cell r="AE59"/>
          <cell r="AF59"/>
          <cell r="AG59"/>
          <cell r="AH59"/>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cell r="W60"/>
          <cell r="X60"/>
          <cell r="Y60"/>
          <cell r="Z60"/>
          <cell r="AA60"/>
          <cell r="AB60"/>
          <cell r="AC60"/>
          <cell r="AD60"/>
          <cell r="AE60"/>
          <cell r="AF60"/>
          <cell r="AG60"/>
          <cell r="AH60"/>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cell r="W61"/>
          <cell r="X61"/>
          <cell r="Y61"/>
          <cell r="Z61"/>
          <cell r="AA61"/>
          <cell r="AB61"/>
          <cell r="AC61"/>
          <cell r="AD61"/>
          <cell r="AE61"/>
          <cell r="AF61"/>
          <cell r="AG61"/>
          <cell r="AH61"/>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cell r="W68"/>
          <cell r="X68"/>
          <cell r="Y68"/>
          <cell r="Z68"/>
          <cell r="AA68"/>
          <cell r="AB68"/>
          <cell r="AC68"/>
          <cell r="AD68"/>
          <cell r="AE68"/>
          <cell r="AF68"/>
          <cell r="AG68"/>
          <cell r="AH68"/>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cell r="W69"/>
          <cell r="X69"/>
          <cell r="Y69"/>
          <cell r="Z69"/>
          <cell r="AA69"/>
          <cell r="AB69"/>
          <cell r="AC69"/>
          <cell r="AD69"/>
          <cell r="AE69"/>
          <cell r="AF69"/>
          <cell r="AG69"/>
          <cell r="AH69"/>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cell r="W70"/>
          <cell r="X70"/>
          <cell r="Y70"/>
          <cell r="Z70"/>
          <cell r="AA70"/>
          <cell r="AB70"/>
          <cell r="AC70"/>
          <cell r="AD70"/>
          <cell r="AE70"/>
          <cell r="AF70"/>
          <cell r="AG70"/>
          <cell r="AH70"/>
        </row>
        <row r="71">
          <cell r="V71"/>
          <cell r="W71"/>
          <cell r="X71"/>
          <cell r="Y71"/>
          <cell r="Z71"/>
          <cell r="AA71"/>
          <cell r="AB71"/>
          <cell r="AC71"/>
          <cell r="AD71"/>
          <cell r="AE71"/>
          <cell r="AF71"/>
          <cell r="AG71"/>
          <cell r="AH71"/>
        </row>
        <row r="72">
          <cell r="V72"/>
          <cell r="W72"/>
          <cell r="X72"/>
          <cell r="Y72"/>
          <cell r="Z72"/>
          <cell r="AA72"/>
          <cell r="AB72"/>
          <cell r="AC72"/>
          <cell r="AD72"/>
          <cell r="AE72"/>
          <cell r="AF72"/>
          <cell r="AG72"/>
          <cell r="AH72"/>
        </row>
        <row r="73">
          <cell r="V73"/>
          <cell r="W73"/>
          <cell r="X73"/>
          <cell r="Y73"/>
          <cell r="Z73"/>
          <cell r="AA73"/>
          <cell r="AB73"/>
          <cell r="AC73"/>
          <cell r="AD73"/>
          <cell r="AE73"/>
          <cell r="AF73"/>
          <cell r="AG73"/>
          <cell r="AH73"/>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row>
        <row r="78">
          <cell r="V78"/>
          <cell r="W78"/>
          <cell r="X78"/>
          <cell r="Y78"/>
          <cell r="Z78"/>
          <cell r="AA78"/>
          <cell r="AB78"/>
          <cell r="AC78"/>
          <cell r="AD78"/>
          <cell r="AE78"/>
          <cell r="AF78"/>
          <cell r="AG78"/>
          <cell r="AH78"/>
        </row>
        <row r="79">
          <cell r="V79"/>
          <cell r="W79"/>
          <cell r="X79"/>
          <cell r="Y79"/>
          <cell r="Z79"/>
          <cell r="AA79"/>
          <cell r="AB79"/>
          <cell r="AC79"/>
          <cell r="AD79"/>
          <cell r="AE79"/>
          <cell r="AF79"/>
          <cell r="AG79"/>
          <cell r="AH79"/>
        </row>
        <row r="80">
          <cell r="V80"/>
          <cell r="W80"/>
          <cell r="X80"/>
          <cell r="Y80"/>
          <cell r="Z80"/>
          <cell r="AA80"/>
          <cell r="AB80"/>
          <cell r="AC80"/>
          <cell r="AD80"/>
          <cell r="AE80"/>
          <cell r="AF80"/>
          <cell r="AG80"/>
          <cell r="AH80"/>
        </row>
        <row r="81">
          <cell r="V81"/>
          <cell r="W81"/>
          <cell r="X81"/>
          <cell r="Y81"/>
          <cell r="Z81"/>
          <cell r="AA81"/>
          <cell r="AB81"/>
          <cell r="AC81"/>
          <cell r="AD81"/>
          <cell r="AE81"/>
          <cell r="AF81"/>
          <cell r="AG81"/>
          <cell r="AH81"/>
        </row>
        <row r="82">
          <cell r="V82"/>
          <cell r="W82"/>
          <cell r="X82"/>
          <cell r="Y82"/>
          <cell r="Z82"/>
          <cell r="AA82"/>
          <cell r="AB82"/>
          <cell r="AC82"/>
          <cell r="AD82"/>
          <cell r="AE82"/>
          <cell r="AF82"/>
          <cell r="AG82"/>
          <cell r="AH82"/>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ow r="9">
          <cell r="A9" t="str">
            <v>Anhembi</v>
          </cell>
        </row>
      </sheetData>
      <sheetData sheetId="354"/>
      <sheetData sheetId="355"/>
      <sheetData sheetId="356"/>
      <sheetData sheetId="357"/>
      <sheetData sheetId="358"/>
      <sheetData sheetId="359"/>
      <sheetData sheetId="360"/>
      <sheetData sheetId="361"/>
      <sheetData sheetId="362"/>
      <sheetData sheetId="363"/>
      <sheetData sheetId="364"/>
      <sheetData sheetId="365">
        <row r="21">
          <cell r="A21" t="str">
            <v>PERDAS Anhembi</v>
          </cell>
        </row>
      </sheetData>
      <sheetData sheetId="366">
        <row r="26">
          <cell r="C26">
            <v>5915</v>
          </cell>
        </row>
      </sheetData>
      <sheetData sheetId="367">
        <row r="8">
          <cell r="A8" t="str">
            <v>Anhembi</v>
          </cell>
        </row>
      </sheetData>
      <sheetData sheetId="368">
        <row r="9">
          <cell r="A9" t="str">
            <v>Anhembi</v>
          </cell>
        </row>
      </sheetData>
      <sheetData sheetId="369"/>
      <sheetData sheetId="370">
        <row r="34">
          <cell r="A34" t="str">
            <v>Plano de Ação</v>
          </cell>
        </row>
      </sheetData>
      <sheetData sheetId="371">
        <row r="52">
          <cell r="U52" t="str">
            <v>Anhembi</v>
          </cell>
        </row>
      </sheetData>
      <sheetData sheetId="372">
        <row r="92">
          <cell r="X92">
            <v>0</v>
          </cell>
        </row>
      </sheetData>
      <sheetData sheetId="373"/>
      <sheetData sheetId="374"/>
      <sheetData sheetId="375"/>
      <sheetData sheetId="376"/>
      <sheetData sheetId="377"/>
      <sheetData sheetId="378"/>
      <sheetData sheetId="379"/>
      <sheetData sheetId="380">
        <row r="24">
          <cell r="D24">
            <v>4186</v>
          </cell>
        </row>
      </sheetData>
      <sheetData sheetId="381"/>
      <sheetData sheetId="382"/>
      <sheetData sheetId="383">
        <row r="21">
          <cell r="C21">
            <v>722787</v>
          </cell>
        </row>
      </sheetData>
      <sheetData sheetId="384"/>
      <sheetData sheetId="385"/>
      <sheetData sheetId="386"/>
      <sheetData sheetId="387"/>
      <sheetData sheetId="388"/>
      <sheetData sheetId="389"/>
      <sheetData sheetId="390">
        <row r="35">
          <cell r="C35" t="str">
            <v>Anhembi</v>
          </cell>
        </row>
      </sheetData>
      <sheetData sheetId="391"/>
      <sheetData sheetId="392"/>
      <sheetData sheetId="393"/>
      <sheetData sheetId="394"/>
      <sheetData sheetId="395"/>
      <sheetData sheetId="396"/>
      <sheetData sheetId="397"/>
      <sheetData sheetId="398"/>
      <sheetData sheetId="399"/>
      <sheetData sheetId="400"/>
      <sheetData sheetId="401">
        <row r="24">
          <cell r="C24">
            <v>0</v>
          </cell>
        </row>
      </sheetData>
      <sheetData sheetId="402"/>
      <sheetData sheetId="403"/>
      <sheetData sheetId="404"/>
      <sheetData sheetId="405">
        <row r="5">
          <cell r="AC5">
            <v>0.57999999999999996</v>
          </cell>
        </row>
      </sheetData>
      <sheetData sheetId="406"/>
      <sheetData sheetId="407"/>
      <sheetData sheetId="408"/>
      <sheetData sheetId="409">
        <row r="27">
          <cell r="B27" t="str">
            <v>Tempo Médio de Espera</v>
          </cell>
        </row>
      </sheetData>
      <sheetData sheetId="410"/>
      <sheetData sheetId="411"/>
      <sheetData sheetId="412"/>
      <sheetData sheetId="413"/>
      <sheetData sheetId="414"/>
      <sheetData sheetId="415"/>
      <sheetData sheetId="416">
        <row r="50">
          <cell r="C50">
            <v>0</v>
          </cell>
        </row>
      </sheetData>
      <sheetData sheetId="417"/>
      <sheetData sheetId="418">
        <row r="24">
          <cell r="D24">
            <v>71</v>
          </cell>
        </row>
      </sheetData>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ow r="19">
          <cell r="C19" t="str">
            <v>total de religas</v>
          </cell>
        </row>
      </sheetData>
      <sheetData sheetId="433"/>
      <sheetData sheetId="434"/>
      <sheetData sheetId="435"/>
      <sheetData sheetId="436"/>
      <sheetData sheetId="437"/>
      <sheetData sheetId="438"/>
      <sheetData sheetId="439">
        <row r="32">
          <cell r="A32" t="str">
            <v>PROPRIO</v>
          </cell>
        </row>
      </sheetData>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4">
          <cell r="A34" t="str">
            <v>Plano de Ação</v>
          </cell>
        </row>
      </sheetData>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sheetData sheetId="10"/>
      <sheetData sheetId="11"/>
      <sheetData sheetId="12"/>
      <sheetData sheetId="13"/>
      <sheetData sheetId="14">
        <row r="1">
          <cell r="J1">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RES"/>
      <sheetName val="HESREGRF"/>
      <sheetName val="Tablas"/>
      <sheetName val="ISA"/>
      <sheetName val="10"/>
      <sheetName val="Responsables"/>
      <sheetName val="Impuestos (3)"/>
      <sheetName val="Conc. IFRS vs L.Trib"/>
      <sheetName val="Balance 2016"/>
      <sheetName val="Balances 2015"/>
      <sheetName val="Impuestos (2)"/>
      <sheetName val="Impuestos"/>
      <sheetName val="ingra8"/>
      <sheetName val="Colombia CE"/>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 sheetId="5" refreshError="1"/>
      <sheetData sheetId="6" refreshError="1"/>
      <sheetData sheetId="7"/>
      <sheetData sheetId="8"/>
      <sheetData sheetId="9">
        <row r="1">
          <cell r="C1" t="str">
            <v>Página 1 de 1</v>
          </cell>
        </row>
      </sheetData>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12.bin"/><Relationship Id="rId4"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3" Type="http://schemas.openxmlformats.org/officeDocument/2006/relationships/hyperlink" Target="http://www2.osinerg.gob.pe/Resoluciones/pdf/2017/OSINERGMIN%20No.061-2017-OS-CD.pdf" TargetMode="External"/><Relationship Id="rId18" Type="http://schemas.openxmlformats.org/officeDocument/2006/relationships/hyperlink" Target="https://www.osinergmin.gob.pe/Resoluciones/pdf/2015/OSINERGMIN%20No.147-2015-OS-CD.pdf" TargetMode="External"/><Relationship Id="rId26" Type="http://schemas.openxmlformats.org/officeDocument/2006/relationships/hyperlink" Target="http://apolo.creg.gov.co/Publicac.nsf/Documentos-Resoluciones?openview=" TargetMode="External"/><Relationship Id="rId39" Type="http://schemas.openxmlformats.org/officeDocument/2006/relationships/hyperlink" Target="http://apolo.creg.gov.co/Publicac.nsf/Documentos-Resoluciones?openview=" TargetMode="External"/><Relationship Id="rId21" Type="http://schemas.openxmlformats.org/officeDocument/2006/relationships/hyperlink" Target="https://www.proyectosapp.pe/RepositorioAPS/0/0/JER/PALINEAOROYACARHUAMAYO/Contrato.pdf" TargetMode="External"/><Relationship Id="rId34" Type="http://schemas.openxmlformats.org/officeDocument/2006/relationships/hyperlink" Target="http://apolo.creg.gov.co/Publicac.nsf/Documentos-Resoluciones?openview=" TargetMode="External"/><Relationship Id="rId42" Type="http://schemas.openxmlformats.org/officeDocument/2006/relationships/hyperlink" Target="http://apolo.creg.gov.co/Publicac.nsf/Documentos-Resoluciones?openview=" TargetMode="External"/><Relationship Id="rId47" Type="http://schemas.openxmlformats.org/officeDocument/2006/relationships/hyperlink" Target="http://apolo.creg.gov.co/Publicac.nsf/Documentos-Resoluciones?openview=" TargetMode="External"/><Relationship Id="rId50" Type="http://schemas.openxmlformats.org/officeDocument/2006/relationships/hyperlink" Target="https://www.bcn.cl/leychile/navegar?idNorma=1063209" TargetMode="External"/><Relationship Id="rId7" Type="http://schemas.openxmlformats.org/officeDocument/2006/relationships/hyperlink" Target="https://www.osinergmin.gob.pe/seccion/centro_documental/PlantillaMarcoLegalBusqueda/Decreto%20Supremo%20N%C2%B0%20027-2007-EM%20-%20Reglamento%20de%20Transmisi%C3%B3n.pdf" TargetMode="External"/><Relationship Id="rId2" Type="http://schemas.openxmlformats.org/officeDocument/2006/relationships/hyperlink" Target="http://apolo.creg.gov.co/Publicac.nsf/Documentos-Resoluciones?openview=" TargetMode="External"/><Relationship Id="rId16" Type="http://schemas.openxmlformats.org/officeDocument/2006/relationships/hyperlink" Target="https://www.osinergmin.gob.pe/Resoluciones/pdf/2020/Osinergmin-056-2020-OS-CD.pdf" TargetMode="External"/><Relationship Id="rId29" Type="http://schemas.openxmlformats.org/officeDocument/2006/relationships/hyperlink" Target="http://apolo.creg.gov.co/Publicac.nsf/Documentos-Resoluciones?openview=" TargetMode="External"/><Relationship Id="rId11" Type="http://schemas.openxmlformats.org/officeDocument/2006/relationships/hyperlink" Target="https://www.osinergmin.gob.pe/Resoluciones/pdf/2020/Osinergmin-140-2020-OS-CD.pdf" TargetMode="External"/><Relationship Id="rId24" Type="http://schemas.openxmlformats.org/officeDocument/2006/relationships/hyperlink" Target="https://sawi.aetn.gob.bo/docfly/app/webroot/uploads/IMG-ML_RLE-admin-2010-09-23-26094.pdf" TargetMode="External"/><Relationship Id="rId32" Type="http://schemas.openxmlformats.org/officeDocument/2006/relationships/hyperlink" Target="http://apolo.creg.gov.co/Publicac.nsf/Documentos-Resoluciones?openview=" TargetMode="External"/><Relationship Id="rId37" Type="http://schemas.openxmlformats.org/officeDocument/2006/relationships/hyperlink" Target="http://apolo.creg.gov.co/Publicac.nsf/Documentos-Resoluciones?openview=" TargetMode="External"/><Relationship Id="rId40" Type="http://schemas.openxmlformats.org/officeDocument/2006/relationships/hyperlink" Target="http://apolo.creg.gov.co/Publicac.nsf/Documentos-Resoluciones?openview=" TargetMode="External"/><Relationship Id="rId45" Type="http://schemas.openxmlformats.org/officeDocument/2006/relationships/hyperlink" Target="http://apolo.creg.gov.co/Publicac.nsf/Documentos-Resoluciones?openview=" TargetMode="External"/><Relationship Id="rId53" Type="http://schemas.openxmlformats.org/officeDocument/2006/relationships/customProperty" Target="../customProperty13.bin"/><Relationship Id="rId5" Type="http://schemas.openxmlformats.org/officeDocument/2006/relationships/hyperlink" Target="https://www.osinergmin.gob.pe/cartas/documentos/electricidad/normativa/DS-009-93-EM-REGLAMENTO-LCE.pdf" TargetMode="External"/><Relationship Id="rId10" Type="http://schemas.openxmlformats.org/officeDocument/2006/relationships/hyperlink" Target="https://www.osinergmin.gob.pe/Resoluciones/pdf/2020/Osinergmin-068-2020-OS-CD.pdf" TargetMode="External"/><Relationship Id="rId19" Type="http://schemas.openxmlformats.org/officeDocument/2006/relationships/hyperlink" Target="https://www.proyectosapp.pe/RepositorioAPS/0/0/JER/PAETECENETESUR/Contrato%20Etecen%20-%20Etesur/Contrato_EtecenEtesur.pdf" TargetMode="External"/><Relationship Id="rId31" Type="http://schemas.openxmlformats.org/officeDocument/2006/relationships/hyperlink" Target="http://apolo.creg.gov.co/Publicac.nsf/Documentos-Resoluciones?openview=" TargetMode="External"/><Relationship Id="rId44" Type="http://schemas.openxmlformats.org/officeDocument/2006/relationships/hyperlink" Target="http://apolo.creg.gov.co/Publicac.nsf/Documentos-Resoluciones?openview=" TargetMode="External"/><Relationship Id="rId52" Type="http://schemas.openxmlformats.org/officeDocument/2006/relationships/customProperty" Target="../customProperty12.bin"/><Relationship Id="rId4" Type="http://schemas.openxmlformats.org/officeDocument/2006/relationships/hyperlink" Target="https://www.osinergmin.gob.pe/cartas/documentos/electricidad/normativa/LEY_CONCESIONES_ELECTRICAS.pdf" TargetMode="External"/><Relationship Id="rId9" Type="http://schemas.openxmlformats.org/officeDocument/2006/relationships/hyperlink" Target="https://www.osinergmin.gob.pe/Resoluciones/pdf/2020/Osinergmin-124-2020-OS-CD.pdf" TargetMode="External"/><Relationship Id="rId14" Type="http://schemas.openxmlformats.org/officeDocument/2006/relationships/hyperlink" Target="http://www2.osinerg.gob.pe/Resoluciones/pdf/2017/OSINERGMIN%20No.129-2017-OS-CD.pdf" TargetMode="External"/><Relationship Id="rId22" Type="http://schemas.openxmlformats.org/officeDocument/2006/relationships/hyperlink" Target="https://www.proyectosapp.pe/modulos/JER/PlantillaStandard.aspx?are=0&amp;prf=2&amp;jer=7649&amp;sec=22" TargetMode="External"/><Relationship Id="rId27" Type="http://schemas.openxmlformats.org/officeDocument/2006/relationships/hyperlink" Target="http://apolo.creg.gov.co/Publicac.nsf/Documentos-Resoluciones?openview=" TargetMode="External"/><Relationship Id="rId30" Type="http://schemas.openxmlformats.org/officeDocument/2006/relationships/hyperlink" Target="http://apolo.creg.gov.co/Publicac.nsf/Documentos-Resoluciones?openview=" TargetMode="External"/><Relationship Id="rId35" Type="http://schemas.openxmlformats.org/officeDocument/2006/relationships/hyperlink" Target="http://apolo.creg.gov.co/Publicac.nsf/Documentos-Resoluciones?openview=" TargetMode="External"/><Relationship Id="rId43" Type="http://schemas.openxmlformats.org/officeDocument/2006/relationships/hyperlink" Target="http://apolo.creg.gov.co/Publicac.nsf/Documentos-Resoluciones?openview=" TargetMode="External"/><Relationship Id="rId48" Type="http://schemas.openxmlformats.org/officeDocument/2006/relationships/hyperlink" Target="http://apolo.creg.gov.co/Publicac.nsf/Documentos-Resoluciones?openview=" TargetMode="External"/><Relationship Id="rId8" Type="http://schemas.openxmlformats.org/officeDocument/2006/relationships/hyperlink" Target="http://www2.congreso.gob.pe/sicr/cendocbib/con5_uibd.nsf/1B334AA6E22479B2052582430057C4C3/$FILE/027-2007-EM.pdf" TargetMode="External"/><Relationship Id="rId51" Type="http://schemas.openxmlformats.org/officeDocument/2006/relationships/hyperlink" Target="https://www.bcn.cl/leychile/navegar?idNorma=1134824" TargetMode="External"/><Relationship Id="rId3" Type="http://schemas.openxmlformats.org/officeDocument/2006/relationships/hyperlink" Target="http://apolo.creg.gov.co/Publicac.nsf/Documentos-Resoluciones?openview=" TargetMode="External"/><Relationship Id="rId12" Type="http://schemas.openxmlformats.org/officeDocument/2006/relationships/hyperlink" Target="https://www.osinergmin.gob.pe/Resoluciones/pdf/2020/Osinergmin-078-2020-OS-CD.pdf" TargetMode="External"/><Relationship Id="rId17" Type="http://schemas.openxmlformats.org/officeDocument/2006/relationships/hyperlink" Target="https://www.osinergmin.gob.pe/Resoluciones/pdf/2020/Osinergmin-042-2020-OS-CD.pdf" TargetMode="External"/><Relationship Id="rId25" Type="http://schemas.openxmlformats.org/officeDocument/2006/relationships/hyperlink" Target="http://apolo.creg.gov.co/Publicac.nsf/Documentos-Resoluciones?openview=" TargetMode="External"/><Relationship Id="rId33" Type="http://schemas.openxmlformats.org/officeDocument/2006/relationships/hyperlink" Target="http://apolo.creg.gov.co/Publicac.nsf/Documentos-Resoluciones?openview=" TargetMode="External"/><Relationship Id="rId38" Type="http://schemas.openxmlformats.org/officeDocument/2006/relationships/hyperlink" Target="http://apolo.creg.gov.co/Publicac.nsf/Documentos-Resoluciones?openview=" TargetMode="External"/><Relationship Id="rId46" Type="http://schemas.openxmlformats.org/officeDocument/2006/relationships/hyperlink" Target="http://apolo.creg.gov.co/Publicac.nsf/Documentos-Resoluciones?openview=" TargetMode="External"/><Relationship Id="rId20" Type="http://schemas.openxmlformats.org/officeDocument/2006/relationships/hyperlink" Target="https://www.proyectosapp.pe/RepositorioAPS/0/0/JER/PATRANSMISIONMS/Contrato.pdf" TargetMode="External"/><Relationship Id="rId41" Type="http://schemas.openxmlformats.org/officeDocument/2006/relationships/hyperlink" Target="http://apolo.creg.gov.co/Publicac.nsf/Documentos-Resoluciones?openview=" TargetMode="External"/><Relationship Id="rId54" Type="http://schemas.openxmlformats.org/officeDocument/2006/relationships/drawing" Target="../drawings/drawing11.xml"/><Relationship Id="rId1" Type="http://schemas.openxmlformats.org/officeDocument/2006/relationships/hyperlink" Target="http://apolo.creg.gov.co/Publicac.nsf/Documentos-Resoluciones?openview=" TargetMode="External"/><Relationship Id="rId6" Type="http://schemas.openxmlformats.org/officeDocument/2006/relationships/hyperlink" Target="http://www2.osinerg.gob.pe/MarcoLegal/pdf/LEY%2028832.pdf" TargetMode="External"/><Relationship Id="rId15" Type="http://schemas.openxmlformats.org/officeDocument/2006/relationships/hyperlink" Target="https://www.osinergmin.gob.pe/Resoluciones/pdf/2020/Osinergmin-055-2020-OS-CD.pdf" TargetMode="External"/><Relationship Id="rId23" Type="http://schemas.openxmlformats.org/officeDocument/2006/relationships/hyperlink" Target="https://srvdocs.aetn.gob.bo/ae/resolucion/2017/AE_R_178_17.pdf" TargetMode="External"/><Relationship Id="rId28" Type="http://schemas.openxmlformats.org/officeDocument/2006/relationships/hyperlink" Target="http://apolo.creg.gov.co/Publicac.nsf/Documentos-Resoluciones?openview=" TargetMode="External"/><Relationship Id="rId36" Type="http://schemas.openxmlformats.org/officeDocument/2006/relationships/hyperlink" Target="http://apolo.creg.gov.co/Publicac.nsf/Documentos-Resoluciones?openview=" TargetMode="External"/><Relationship Id="rId49" Type="http://schemas.openxmlformats.org/officeDocument/2006/relationships/hyperlink" Target="http://apolo.creg.gov.co/Publicac.nsf/Documentos-Resoluciones?openview="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TargetMode="External"/><Relationship Id="rId13" Type="http://schemas.openxmlformats.org/officeDocument/2006/relationships/hyperlink" Target="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TargetMode="External"/><Relationship Id="rId3" Type="http://schemas.openxmlformats.org/officeDocument/2006/relationships/hyperlink" Target="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TargetMode="External"/><Relationship Id="rId7" Type="http://schemas.openxmlformats.org/officeDocument/2006/relationships/hyperlink" Target="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TargetMode="External"/><Relationship Id="rId12" Type="http://schemas.openxmlformats.org/officeDocument/2006/relationships/hyperlink" Target="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TargetMode="External"/><Relationship Id="rId2" Type="http://schemas.openxmlformats.org/officeDocument/2006/relationships/hyperlink" Target="http://www.concesioncostera.com/index.php/proyecto/documentacion" TargetMode="External"/><Relationship Id="rId1" Type="http://schemas.openxmlformats.org/officeDocument/2006/relationships/hyperlink" Target="https://www.contratos.gov.co/consultas/detalleProceso.do?numConstancia=13-19-1611882" TargetMode="External"/><Relationship Id="rId6" Type="http://schemas.openxmlformats.org/officeDocument/2006/relationships/hyperlink" Target="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TargetMode="External"/><Relationship Id="rId11" Type="http://schemas.openxmlformats.org/officeDocument/2006/relationships/hyperlink" Target="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TargetMode="External"/><Relationship Id="rId5" Type="http://schemas.openxmlformats.org/officeDocument/2006/relationships/hyperlink" Target="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TargetMode="External"/><Relationship Id="rId15" Type="http://schemas.openxmlformats.org/officeDocument/2006/relationships/drawing" Target="../drawings/drawing12.xml"/><Relationship Id="rId10" Type="http://schemas.openxmlformats.org/officeDocument/2006/relationships/hyperlink" Target="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TargetMode="External"/><Relationship Id="rId4" Type="http://schemas.openxmlformats.org/officeDocument/2006/relationships/hyperlink" Target="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TargetMode="External"/><Relationship Id="rId9" Type="http://schemas.openxmlformats.org/officeDocument/2006/relationships/hyperlink" Target="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TargetMode="External"/><Relationship Id="rId14"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15.bin"/><Relationship Id="rId4"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informeanual.xm.com.co/informe/pages/xm/a-informe-financiero-y-notas.html"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ri.taesa.com.br/" TargetMode="External"/><Relationship Id="rId1" Type="http://schemas.openxmlformats.org/officeDocument/2006/relationships/hyperlink" Target="https://www.isacteep.com.br/ri/informacoes-financeiras/central-de-resultados" TargetMode="External"/><Relationship Id="rId6" Type="http://schemas.openxmlformats.org/officeDocument/2006/relationships/drawing" Target="../drawings/drawing4.xml"/><Relationship Id="rId5" Type="http://schemas.openxmlformats.org/officeDocument/2006/relationships/customProperty" Target="../customProperty5.bin"/><Relationship Id="rId4"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7.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9.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dimension ref="A1:P70"/>
  <sheetViews>
    <sheetView showGridLines="0" topLeftCell="A16" zoomScaleNormal="100" workbookViewId="0">
      <selection activeCell="B26" sqref="B26"/>
    </sheetView>
  </sheetViews>
  <sheetFormatPr baseColWidth="10" defaultColWidth="11.453125" defaultRowHeight="14.5"/>
  <cols>
    <col min="1" max="1" width="2.453125" style="46" customWidth="1"/>
    <col min="2" max="2" width="39.453125" customWidth="1"/>
    <col min="3" max="3" width="17.26953125" customWidth="1"/>
  </cols>
  <sheetData>
    <row r="1" spans="2:16">
      <c r="N1" s="46"/>
      <c r="O1" s="46"/>
    </row>
    <row r="2" spans="2:16">
      <c r="N2" s="46"/>
      <c r="O2" s="46"/>
    </row>
    <row r="3" spans="2:16">
      <c r="N3" s="46"/>
      <c r="O3" s="46"/>
    </row>
    <row r="4" spans="2:16">
      <c r="N4" s="46"/>
      <c r="O4" s="46"/>
    </row>
    <row r="5" spans="2:16">
      <c r="N5" s="46"/>
      <c r="O5" s="46"/>
    </row>
    <row r="6" spans="2:16" s="46" customFormat="1"/>
    <row r="7" spans="2:16">
      <c r="N7" s="46"/>
      <c r="O7" s="46"/>
    </row>
    <row r="8" spans="2:16" s="46" customFormat="1">
      <c r="B8" s="234" t="s">
        <v>712</v>
      </c>
      <c r="C8" s="234"/>
      <c r="D8" s="234"/>
      <c r="E8" s="234"/>
      <c r="F8" s="234"/>
      <c r="G8" s="234"/>
      <c r="H8" s="234"/>
      <c r="I8" s="234"/>
      <c r="J8" s="234"/>
      <c r="K8" s="234"/>
      <c r="L8" s="234"/>
      <c r="M8" s="234"/>
    </row>
    <row r="9" spans="2:16" s="46" customFormat="1">
      <c r="B9" s="246" t="s">
        <v>1082</v>
      </c>
    </row>
    <row r="10" spans="2:16" s="46" customFormat="1">
      <c r="B10" s="5" t="s">
        <v>717</v>
      </c>
    </row>
    <row r="11" spans="2:16" s="46" customFormat="1">
      <c r="B11" s="5"/>
    </row>
    <row r="12" spans="2:16" s="46" customFormat="1">
      <c r="B12" s="72"/>
    </row>
    <row r="13" spans="2:16" s="46" customFormat="1">
      <c r="B13" s="237" t="s">
        <v>710</v>
      </c>
      <c r="C13" s="235"/>
      <c r="D13" s="235"/>
      <c r="E13" s="235"/>
      <c r="F13" s="235"/>
      <c r="G13" s="235"/>
      <c r="H13" s="235"/>
      <c r="I13" s="235"/>
      <c r="J13" s="235"/>
      <c r="K13" s="235"/>
      <c r="L13" s="235"/>
      <c r="M13" s="235"/>
      <c r="N13" s="236"/>
      <c r="O13" s="236"/>
      <c r="P13" s="236"/>
    </row>
    <row r="14" spans="2:16">
      <c r="B14" s="5"/>
      <c r="C14" s="46"/>
      <c r="N14" s="46"/>
      <c r="O14" s="46"/>
    </row>
    <row r="15" spans="2:16" s="46" customFormat="1">
      <c r="B15" s="231" t="s">
        <v>708</v>
      </c>
      <c r="C15" s="75"/>
      <c r="D15" s="75"/>
      <c r="E15" s="75"/>
      <c r="F15" s="75"/>
      <c r="G15" s="75"/>
      <c r="H15" s="75"/>
      <c r="I15" s="75"/>
      <c r="J15" s="75"/>
      <c r="K15" s="75"/>
      <c r="L15" s="75"/>
      <c r="M15" s="75"/>
    </row>
    <row r="16" spans="2:16" s="46" customFormat="1">
      <c r="B16" s="74" t="s">
        <v>1105</v>
      </c>
    </row>
    <row r="17" spans="1:16">
      <c r="B17" s="230" t="s">
        <v>737</v>
      </c>
    </row>
    <row r="18" spans="1:16" s="46" customFormat="1">
      <c r="B18" s="230" t="s">
        <v>1106</v>
      </c>
    </row>
    <row r="19" spans="1:16" s="46" customFormat="1">
      <c r="B19" s="5"/>
    </row>
    <row r="20" spans="1:16" s="46" customFormat="1">
      <c r="B20" s="230" t="s">
        <v>1107</v>
      </c>
      <c r="C20" s="232"/>
      <c r="D20" s="232"/>
      <c r="E20" s="232"/>
      <c r="F20" s="232"/>
      <c r="G20" s="232"/>
      <c r="H20" s="232"/>
      <c r="I20" s="232"/>
      <c r="J20" s="232"/>
      <c r="K20" s="232"/>
      <c r="L20" s="232"/>
      <c r="M20" s="232"/>
      <c r="N20" s="232"/>
      <c r="O20" s="232"/>
      <c r="P20" s="232"/>
    </row>
    <row r="21" spans="1:16" s="46" customFormat="1">
      <c r="B21" s="230" t="s">
        <v>1108</v>
      </c>
      <c r="C21" s="232"/>
      <c r="D21" s="232"/>
      <c r="E21" s="232"/>
      <c r="F21" s="232"/>
      <c r="G21" s="232"/>
      <c r="H21" s="232"/>
      <c r="I21" s="232"/>
      <c r="J21" s="232"/>
      <c r="K21" s="232"/>
      <c r="L21" s="232"/>
    </row>
    <row r="22" spans="1:16" s="46" customFormat="1">
      <c r="B22" s="233" t="s">
        <v>711</v>
      </c>
      <c r="C22" s="234"/>
      <c r="D22" s="234"/>
      <c r="E22" s="234"/>
      <c r="F22" s="234"/>
      <c r="G22" s="234"/>
      <c r="H22" s="234"/>
      <c r="I22" s="234"/>
      <c r="J22" s="234"/>
      <c r="K22" s="234"/>
      <c r="L22" s="234"/>
      <c r="M22" s="234"/>
      <c r="N22" s="234"/>
      <c r="O22" s="234"/>
      <c r="P22" s="55"/>
    </row>
    <row r="23" spans="1:16" s="46" customFormat="1">
      <c r="B23" s="5"/>
    </row>
    <row r="24" spans="1:16">
      <c r="B24" s="73"/>
      <c r="C24" s="46"/>
    </row>
    <row r="25" spans="1:16" ht="15" thickBot="1">
      <c r="B25" s="229" t="s">
        <v>963</v>
      </c>
      <c r="C25" s="46"/>
      <c r="D25" s="46"/>
    </row>
    <row r="26" spans="1:16" ht="15" thickTop="1">
      <c r="B26" s="2" t="s">
        <v>0</v>
      </c>
      <c r="C26" s="42"/>
      <c r="D26" s="46"/>
    </row>
    <row r="27" spans="1:16" s="46" customFormat="1">
      <c r="B27" s="2" t="s">
        <v>1</v>
      </c>
      <c r="C27" s="607" t="s">
        <v>2</v>
      </c>
    </row>
    <row r="28" spans="1:16" s="46" customFormat="1">
      <c r="B28" s="2"/>
      <c r="C28" s="607" t="s">
        <v>3</v>
      </c>
    </row>
    <row r="29" spans="1:16" s="46" customFormat="1">
      <c r="B29" s="2"/>
      <c r="C29" s="607" t="s">
        <v>4</v>
      </c>
    </row>
    <row r="30" spans="1:16" s="1" customFormat="1">
      <c r="A30" s="46"/>
      <c r="B30" s="2"/>
      <c r="C30" s="42"/>
      <c r="D30" s="46"/>
    </row>
    <row r="31" spans="1:16" s="46" customFormat="1">
      <c r="B31" s="2" t="s">
        <v>5</v>
      </c>
      <c r="C31" s="42"/>
    </row>
    <row r="32" spans="1:16" s="1" customFormat="1">
      <c r="A32" s="46"/>
      <c r="B32" s="2" t="s">
        <v>713</v>
      </c>
      <c r="C32" s="42"/>
      <c r="D32" s="46"/>
    </row>
    <row r="33" spans="1:4" s="46" customFormat="1">
      <c r="B33" s="2" t="s">
        <v>6</v>
      </c>
      <c r="C33" s="607" t="s">
        <v>7</v>
      </c>
    </row>
    <row r="34" spans="1:4" s="46" customFormat="1">
      <c r="B34" s="2"/>
      <c r="C34" s="607" t="s">
        <v>8</v>
      </c>
    </row>
    <row r="35" spans="1:4" s="46" customFormat="1">
      <c r="B35" s="2"/>
      <c r="C35" s="607" t="s">
        <v>9</v>
      </c>
    </row>
    <row r="36" spans="1:4" s="1" customFormat="1">
      <c r="A36" s="46"/>
      <c r="B36" s="2"/>
      <c r="C36" s="42"/>
      <c r="D36" s="46"/>
    </row>
    <row r="37" spans="1:4" s="1" customFormat="1">
      <c r="A37" s="46"/>
      <c r="B37" s="2" t="s">
        <v>10</v>
      </c>
      <c r="C37" s="42"/>
      <c r="D37" s="46"/>
    </row>
    <row r="38" spans="1:4" s="46" customFormat="1">
      <c r="B38" s="2" t="s">
        <v>884</v>
      </c>
      <c r="C38" s="42"/>
    </row>
    <row r="39" spans="1:4" s="1" customFormat="1">
      <c r="A39" s="46"/>
      <c r="B39" s="2" t="s">
        <v>11</v>
      </c>
      <c r="C39" s="42"/>
      <c r="D39" s="46"/>
    </row>
    <row r="40" spans="1:4" s="1" customFormat="1">
      <c r="A40" s="46"/>
      <c r="B40" s="2"/>
      <c r="C40" s="42"/>
      <c r="D40" s="46"/>
    </row>
    <row r="41" spans="1:4" s="1" customFormat="1" ht="15" thickBot="1">
      <c r="A41" s="46"/>
      <c r="B41" s="3" t="s">
        <v>12</v>
      </c>
      <c r="C41" s="42"/>
      <c r="D41" s="46"/>
    </row>
    <row r="42" spans="1:4" s="1" customFormat="1" ht="15" thickTop="1">
      <c r="A42" s="46"/>
      <c r="B42" s="2"/>
      <c r="C42" s="42"/>
      <c r="D42" s="46"/>
    </row>
    <row r="43" spans="1:4" s="1" customFormat="1" ht="15" thickBot="1">
      <c r="A43" s="46"/>
      <c r="B43" s="3" t="s">
        <v>13</v>
      </c>
      <c r="C43" s="42"/>
      <c r="D43" s="46"/>
    </row>
    <row r="44" spans="1:4" s="1" customFormat="1" ht="15" thickTop="1">
      <c r="A44" s="46"/>
      <c r="B44" s="2"/>
      <c r="C44" s="42"/>
      <c r="D44" s="46"/>
    </row>
    <row r="45" spans="1:4" s="46" customFormat="1" ht="15" thickBot="1">
      <c r="B45" s="3" t="s">
        <v>1150</v>
      </c>
      <c r="C45" s="42"/>
    </row>
    <row r="46" spans="1:4" s="46" customFormat="1" ht="15" thickTop="1">
      <c r="B46" s="2"/>
      <c r="C46" s="42"/>
    </row>
    <row r="47" spans="1:4" s="1" customFormat="1" ht="15" thickBot="1">
      <c r="A47" s="46"/>
      <c r="B47" s="3" t="s">
        <v>14</v>
      </c>
      <c r="C47" s="42"/>
      <c r="D47" s="46"/>
    </row>
    <row r="48" spans="1:4" ht="15" thickTop="1">
      <c r="B48" s="2"/>
      <c r="C48" s="42"/>
      <c r="D48" s="46"/>
    </row>
    <row r="49" spans="1:4" ht="15" thickBot="1">
      <c r="B49" s="3" t="s">
        <v>714</v>
      </c>
      <c r="C49" s="42"/>
      <c r="D49" s="46"/>
    </row>
    <row r="50" spans="1:4" s="1" customFormat="1" ht="15" thickTop="1">
      <c r="A50" s="46"/>
      <c r="B50" s="46"/>
      <c r="C50" s="42"/>
      <c r="D50" s="46"/>
    </row>
    <row r="51" spans="1:4" s="46" customFormat="1" ht="15" thickBot="1">
      <c r="B51" s="3" t="s">
        <v>738</v>
      </c>
      <c r="C51" s="42"/>
    </row>
    <row r="52" spans="1:4" s="46" customFormat="1" ht="15" thickTop="1">
      <c r="C52" s="42"/>
    </row>
    <row r="53" spans="1:4" s="46" customFormat="1" ht="15" thickBot="1">
      <c r="B53" s="3" t="s">
        <v>1036</v>
      </c>
      <c r="C53" s="42"/>
    </row>
    <row r="54" spans="1:4" s="46" customFormat="1" ht="15" thickTop="1">
      <c r="C54" s="42"/>
    </row>
    <row r="55" spans="1:4" s="1" customFormat="1" ht="15" thickBot="1">
      <c r="A55" s="46"/>
      <c r="B55" s="3" t="s">
        <v>15</v>
      </c>
      <c r="C55" s="42"/>
      <c r="D55" s="46"/>
    </row>
    <row r="56" spans="1:4" ht="15" thickTop="1">
      <c r="B56" s="46"/>
      <c r="C56" s="42"/>
      <c r="D56" s="46"/>
    </row>
    <row r="57" spans="1:4" s="46" customFormat="1" ht="15" thickBot="1">
      <c r="B57" s="3" t="s">
        <v>961</v>
      </c>
      <c r="C57" s="42"/>
    </row>
    <row r="58" spans="1:4" ht="15" thickTop="1">
      <c r="B58" s="71"/>
      <c r="C58" s="42"/>
      <c r="D58" s="46"/>
    </row>
    <row r="59" spans="1:4" ht="15" thickBot="1">
      <c r="B59" s="3" t="s">
        <v>1237</v>
      </c>
      <c r="C59" s="42"/>
      <c r="D59" s="46"/>
    </row>
    <row r="60" spans="1:4" ht="15" thickTop="1">
      <c r="C60" s="42"/>
      <c r="D60" s="46"/>
    </row>
    <row r="61" spans="1:4" ht="15" thickBot="1">
      <c r="B61" s="3" t="s">
        <v>962</v>
      </c>
      <c r="C61" s="42"/>
      <c r="D61" s="46"/>
    </row>
    <row r="62" spans="1:4" ht="15" thickTop="1">
      <c r="C62" s="42"/>
      <c r="D62" s="46"/>
    </row>
    <row r="63" spans="1:4">
      <c r="C63" s="42"/>
    </row>
    <row r="64" spans="1:4">
      <c r="C64" s="42"/>
    </row>
    <row r="65" spans="3:3">
      <c r="C65" s="42"/>
    </row>
    <row r="66" spans="3:3">
      <c r="C66" s="42"/>
    </row>
    <row r="67" spans="3:3">
      <c r="C67" s="42"/>
    </row>
    <row r="68" spans="3:3">
      <c r="C68" s="42"/>
    </row>
    <row r="69" spans="3:3">
      <c r="C69" s="42"/>
    </row>
    <row r="70" spans="3:3">
      <c r="C70" s="42"/>
    </row>
  </sheetData>
  <hyperlinks>
    <hyperlink ref="B26" location="EEFF_Consolidados!A1" display="Estados financieros trimestrales consolidados" xr:uid="{00000000-0004-0000-0000-000000000000}"/>
    <hyperlink ref="B27" location="EEFF_TE_Col!A1" display="Estados financieros trimestrales TE Colombia" xr:uid="{7E6F6CFF-E761-49BF-A934-0EA116AF33ED}"/>
    <hyperlink ref="B31" location="EEFF_TE_Bra!A1" display="Estados financieros trimestrales TE Brasil" xr:uid="{1CE76657-47E0-4197-B72B-0ED45E4C882B}"/>
    <hyperlink ref="B33" location="EEFF_TE_Per!A1" display="Estados financieros trimestrales TE Perú" xr:uid="{200DF45A-7917-4E73-8BDF-BE4CF58F9F28}"/>
    <hyperlink ref="B37" location="EEFF_TE_Chi!A1" display="Estados financieros trimestrales TE Chile" xr:uid="{9404645F-4732-49CF-86CA-3B4C5E10EA64}"/>
    <hyperlink ref="B39" location="EEFF_Vías_Chi!A1" display="Estados financieros trimestrales Vías Chile" xr:uid="{7BD5C8AC-35BD-4061-8513-DD7A2BA25D7D}"/>
    <hyperlink ref="B41" location="'Deuda consolidada créditos'!A1" display="Deuda Consolidada Créditos" xr:uid="{8A1642F2-8656-41A0-B082-8565DBAF0118}"/>
    <hyperlink ref="B47" location="CAPEX!A1" display="CAPEX" xr:uid="{996044DD-0C6C-4E11-8CDE-49E6BE1A26D7}"/>
    <hyperlink ref="B49" location="'Regulación TE'!A1" display="Regulación TE" xr:uid="{13DB8F89-E104-4408-8442-B29EDBBBE8CA}"/>
    <hyperlink ref="B55" location="Dividendos!A1" display="Dividendos" xr:uid="{77B44262-DE9D-4708-A60D-A4C9378FD338}"/>
    <hyperlink ref="B43" location="'Deuda consolidada bonos'!A1" display="Deuda Consolidada Bonos" xr:uid="{4D595DFC-CF37-4502-A9B0-DB417757387B}"/>
    <hyperlink ref="C28" location="EEFF_TE_Col!A92" display="Intercolombia" xr:uid="{071F9AAF-13FB-457D-B7A5-124627FBFAB4}"/>
    <hyperlink ref="C29" location="EEFF_TE_Col!A183" display="Transelca" xr:uid="{E6F78E96-2CDA-4E58-BC07-31864051A819}"/>
    <hyperlink ref="C33" location="EEFF_TE_Per!A3" display="Transmantaro" xr:uid="{C47B0ADD-CB04-48AF-83AF-403E121AD9B1}"/>
    <hyperlink ref="C34" location="EEFF_TE_Per!A116" display="REP" xr:uid="{E15AAFC1-A4A4-4A2F-8FCF-B1A6A884844E}"/>
    <hyperlink ref="C35" location="EEFF_TE_Per!A168" display="ISA Perú" xr:uid="{83C3C887-AEF0-4559-98C9-B708470631E1}"/>
    <hyperlink ref="B57" location="Proyectos!A1" display="Proyectos" xr:uid="{D169357F-578B-4BF9-980B-22F719388FDC}"/>
    <hyperlink ref="B56:C56" location="Proyectos!A1" display="Dividendos" xr:uid="{25976DEF-6DD5-49CE-A887-FCC69AD9C702}"/>
    <hyperlink ref="B32" location="'Flujo RBSE'!A1" display="Flujo RBSE" xr:uid="{4A62FAF4-6ACC-41F8-9AAC-FD873A5D1D17}"/>
    <hyperlink ref="C27" location="EEFF_TE_Col!A3" display="ISA" xr:uid="{147FB5A3-52FC-4FC0-8BC8-AD20892016A9}"/>
    <hyperlink ref="B51" location="'Regulación vías'!A1" display="Regulación Vías" xr:uid="{E4288118-EEC3-4CE7-A1C2-0661B347AD57}"/>
    <hyperlink ref="B38" location="EEFF_Vías_Col!A1" display="Estados financieros trimestrales Vías Colombia" xr:uid="{5F5EE972-231C-4DBB-B019-93631549D292}"/>
    <hyperlink ref="B59" location="'Vencimiento Concesiones'!A1" display="Vencimiento Concesiones" xr:uid="{68C8B648-1E1F-4C89-989E-6A879554F17D}"/>
    <hyperlink ref="B61" location="'Participación en compañías'!A1" display="Participación en compañías" xr:uid="{450FC175-A8F8-4B97-B6C8-302C12AAA0EA}"/>
    <hyperlink ref="B53" location="'Tráfico vías'!A1" display="Tráfico Vías" xr:uid="{6C0EE3FE-69CC-4855-B784-AA43907843B4}"/>
    <hyperlink ref="B45" location="'Perfil deuda'!A1" display="Perfil de deuda" xr:uid="{AF3E666C-7926-4DF0-AD64-09E6CE3D6A30}"/>
  </hyperlinks>
  <pageMargins left="0.7" right="0.7" top="0.75" bottom="0.75" header="0.3" footer="0.3"/>
  <pageSetup orientation="portrait" horizontalDpi="4294967295" verticalDpi="4294967295"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E414C-E6A3-4A60-BDF3-06A2352E3B7B}">
  <dimension ref="A1:Q145"/>
  <sheetViews>
    <sheetView showGridLines="0" zoomScale="80" zoomScaleNormal="80" workbookViewId="0"/>
  </sheetViews>
  <sheetFormatPr baseColWidth="10" defaultColWidth="10.81640625" defaultRowHeight="12.5"/>
  <cols>
    <col min="1" max="1" width="2.54296875" style="494" customWidth="1"/>
    <col min="2" max="2" width="22.54296875" style="494" customWidth="1"/>
    <col min="3" max="3" width="37.1796875" style="494" customWidth="1"/>
    <col min="4" max="6" width="13.7265625" style="494" customWidth="1"/>
    <col min="7" max="8" width="10.81640625" style="494"/>
    <col min="9" max="9" width="2.81640625" style="494" customWidth="1"/>
    <col min="10" max="10" width="10.81640625" style="494"/>
    <col min="11" max="11" width="6.453125" style="494" customWidth="1"/>
    <col min="12" max="12" width="20.81640625" style="494" customWidth="1"/>
    <col min="13" max="13" width="16.7265625" style="494" customWidth="1"/>
    <col min="14" max="14" width="14.81640625" style="494" bestFit="1" customWidth="1"/>
    <col min="15" max="16384" width="10.81640625" style="494"/>
  </cols>
  <sheetData>
    <row r="1" spans="1:17" ht="14.5">
      <c r="A1" s="2" t="s">
        <v>16</v>
      </c>
    </row>
    <row r="3" spans="1:17" ht="14">
      <c r="K3" s="69"/>
      <c r="M3" s="70"/>
      <c r="N3" s="70"/>
      <c r="P3" s="779" t="s">
        <v>905</v>
      </c>
      <c r="Q3" s="779"/>
    </row>
    <row r="4" spans="1:17" ht="37.5">
      <c r="B4" s="729" t="s">
        <v>366</v>
      </c>
      <c r="C4" s="730" t="s">
        <v>367</v>
      </c>
      <c r="D4" s="731" t="s">
        <v>368</v>
      </c>
      <c r="E4" s="732" t="s">
        <v>369</v>
      </c>
      <c r="F4" s="733" t="s">
        <v>370</v>
      </c>
      <c r="G4" s="732" t="s">
        <v>371</v>
      </c>
      <c r="H4" s="780" t="s">
        <v>372</v>
      </c>
      <c r="I4" s="781"/>
      <c r="J4" s="782"/>
      <c r="K4" s="64"/>
      <c r="L4" s="732" t="s">
        <v>1217</v>
      </c>
      <c r="M4" s="732" t="s">
        <v>1218</v>
      </c>
      <c r="N4" s="732" t="s">
        <v>1219</v>
      </c>
    </row>
    <row r="5" spans="1:17" ht="14">
      <c r="B5" s="432"/>
      <c r="C5" s="432"/>
      <c r="D5" s="432"/>
      <c r="E5" s="432"/>
      <c r="F5" s="432"/>
      <c r="G5" s="432"/>
      <c r="H5" s="432"/>
      <c r="I5" s="432"/>
      <c r="J5" s="432"/>
      <c r="K5" s="69"/>
      <c r="L5" s="432"/>
      <c r="M5" s="432"/>
      <c r="N5" s="432"/>
    </row>
    <row r="6" spans="1:17" ht="14.5" thickBot="1">
      <c r="B6" s="433" t="s">
        <v>373</v>
      </c>
      <c r="C6" s="433"/>
      <c r="D6" s="433"/>
      <c r="E6" s="433"/>
      <c r="F6" s="433"/>
      <c r="G6" s="433"/>
      <c r="H6" s="433"/>
      <c r="I6" s="734"/>
      <c r="J6" s="434"/>
      <c r="K6" s="64"/>
      <c r="L6" s="434"/>
      <c r="M6" s="435">
        <v>1208668.8386121001</v>
      </c>
      <c r="N6" s="436">
        <v>292835.28132538818</v>
      </c>
    </row>
    <row r="7" spans="1:17" ht="14.5" thickTop="1">
      <c r="B7" s="468"/>
      <c r="C7" s="432"/>
      <c r="D7" s="432"/>
      <c r="E7" s="432"/>
      <c r="F7" s="432"/>
      <c r="G7" s="432"/>
      <c r="H7" s="432"/>
      <c r="I7" s="432"/>
      <c r="J7" s="432"/>
      <c r="K7" s="69"/>
      <c r="L7" s="432"/>
      <c r="M7" s="438"/>
      <c r="N7" s="438"/>
    </row>
    <row r="8" spans="1:17" ht="14">
      <c r="B8" s="783" t="s">
        <v>1205</v>
      </c>
      <c r="C8" s="500" t="s">
        <v>780</v>
      </c>
      <c r="D8" s="528" t="s">
        <v>391</v>
      </c>
      <c r="E8" s="442">
        <v>42725</v>
      </c>
      <c r="F8" s="442">
        <v>46767</v>
      </c>
      <c r="G8" s="443">
        <v>11.073972602739726</v>
      </c>
      <c r="H8" s="735" t="s">
        <v>776</v>
      </c>
      <c r="I8" s="497" t="s">
        <v>392</v>
      </c>
      <c r="J8" s="501">
        <v>7.4999999999999997E-2</v>
      </c>
      <c r="K8" s="69"/>
      <c r="L8" s="476">
        <v>242124999999</v>
      </c>
      <c r="M8" s="476">
        <v>242183.67965349686</v>
      </c>
      <c r="N8" s="476">
        <v>58676.060553679818</v>
      </c>
    </row>
    <row r="9" spans="1:17" ht="14">
      <c r="B9" s="784"/>
      <c r="C9" s="500" t="s">
        <v>775</v>
      </c>
      <c r="D9" s="528" t="s">
        <v>391</v>
      </c>
      <c r="E9" s="442">
        <v>42725</v>
      </c>
      <c r="F9" s="442">
        <v>48959</v>
      </c>
      <c r="G9" s="443">
        <v>17.079452054794519</v>
      </c>
      <c r="H9" s="735" t="s">
        <v>776</v>
      </c>
      <c r="I9" s="497" t="s">
        <v>392</v>
      </c>
      <c r="J9" s="501">
        <v>0.09</v>
      </c>
      <c r="K9" s="69"/>
      <c r="L9" s="476">
        <v>146999999999</v>
      </c>
      <c r="M9" s="476">
        <v>147035.62585015545</v>
      </c>
      <c r="N9" s="476">
        <v>35623.669184792489</v>
      </c>
    </row>
    <row r="10" spans="1:17" ht="14">
      <c r="B10" s="784"/>
      <c r="C10" s="500" t="s">
        <v>781</v>
      </c>
      <c r="D10" s="528" t="s">
        <v>391</v>
      </c>
      <c r="E10" s="442">
        <v>42725</v>
      </c>
      <c r="F10" s="442">
        <v>48959</v>
      </c>
      <c r="G10" s="443">
        <v>17.079452054794519</v>
      </c>
      <c r="H10" s="735" t="s">
        <v>776</v>
      </c>
      <c r="I10" s="497" t="s">
        <v>392</v>
      </c>
      <c r="J10" s="501">
        <v>0.09</v>
      </c>
      <c r="K10" s="69"/>
      <c r="L10" s="476">
        <v>146999999999</v>
      </c>
      <c r="M10" s="476">
        <v>147035.62585015545</v>
      </c>
      <c r="N10" s="476">
        <v>35623.669184792489</v>
      </c>
    </row>
    <row r="11" spans="1:17" ht="14">
      <c r="B11" s="784"/>
      <c r="C11" s="500" t="s">
        <v>782</v>
      </c>
      <c r="D11" s="528" t="s">
        <v>783</v>
      </c>
      <c r="E11" s="442">
        <v>42725</v>
      </c>
      <c r="F11" s="442">
        <v>48959</v>
      </c>
      <c r="G11" s="443">
        <v>17.079452054794519</v>
      </c>
      <c r="H11" s="735" t="s">
        <v>784</v>
      </c>
      <c r="I11" s="497"/>
      <c r="J11" s="501">
        <v>7.3999999999999996E-2</v>
      </c>
      <c r="K11" s="69"/>
      <c r="L11" s="476">
        <v>560961563</v>
      </c>
      <c r="M11" s="476">
        <v>173507.39858338053</v>
      </c>
      <c r="N11" s="476">
        <v>42037.228273828885</v>
      </c>
    </row>
    <row r="12" spans="1:17" ht="14">
      <c r="B12" s="785"/>
      <c r="C12" s="500" t="s">
        <v>785</v>
      </c>
      <c r="D12" s="528" t="s">
        <v>391</v>
      </c>
      <c r="E12" s="442">
        <v>43286</v>
      </c>
      <c r="F12" s="442">
        <v>49498</v>
      </c>
      <c r="G12" s="443">
        <v>17.019178082191782</v>
      </c>
      <c r="H12" s="735" t="s">
        <v>719</v>
      </c>
      <c r="I12" s="497" t="s">
        <v>392</v>
      </c>
      <c r="J12" s="501">
        <v>8.2000000000000003E-2</v>
      </c>
      <c r="K12" s="69"/>
      <c r="L12" s="476">
        <v>4352838717</v>
      </c>
      <c r="M12" s="476">
        <v>4353.8936393417453</v>
      </c>
      <c r="N12" s="476">
        <v>1054.8577310899279</v>
      </c>
    </row>
    <row r="13" spans="1:17" ht="14.5">
      <c r="B13" s="46"/>
      <c r="C13" s="46"/>
      <c r="D13" s="46"/>
      <c r="E13" s="46"/>
      <c r="F13" s="46"/>
      <c r="G13" s="46"/>
      <c r="H13" s="498"/>
      <c r="I13" s="56"/>
      <c r="J13" s="485"/>
      <c r="K13" s="69"/>
      <c r="L13" s="499"/>
      <c r="M13" s="452">
        <v>714116.22357653</v>
      </c>
      <c r="N13" s="453">
        <v>173015.48492818361</v>
      </c>
    </row>
    <row r="14" spans="1:17" ht="14.5">
      <c r="B14" s="46"/>
      <c r="C14" s="46"/>
      <c r="D14" s="46"/>
      <c r="E14" s="46"/>
      <c r="F14" s="46"/>
      <c r="G14" s="46"/>
      <c r="H14" s="498"/>
      <c r="I14" s="56"/>
      <c r="J14" s="485"/>
      <c r="K14" s="69"/>
      <c r="L14" s="499"/>
      <c r="M14" s="438"/>
      <c r="N14" s="438"/>
    </row>
    <row r="15" spans="1:17" ht="14">
      <c r="B15" s="775" t="s">
        <v>1223</v>
      </c>
      <c r="C15" s="641" t="s">
        <v>777</v>
      </c>
      <c r="D15" s="440" t="s">
        <v>391</v>
      </c>
      <c r="E15" s="442">
        <v>44496</v>
      </c>
      <c r="F15" s="442">
        <v>48148</v>
      </c>
      <c r="G15" s="443">
        <v>10.005479452054795</v>
      </c>
      <c r="H15" s="444" t="s">
        <v>776</v>
      </c>
      <c r="I15" s="497" t="s">
        <v>392</v>
      </c>
      <c r="J15" s="467">
        <v>3.0499999999999999E-2</v>
      </c>
      <c r="K15" s="69"/>
      <c r="L15" s="476">
        <v>158049999998</v>
      </c>
      <c r="M15" s="486">
        <v>158049.99999800001</v>
      </c>
      <c r="N15" s="447">
        <v>38292.222595924381</v>
      </c>
    </row>
    <row r="16" spans="1:17" ht="14">
      <c r="B16" s="777"/>
      <c r="C16" s="641" t="s">
        <v>777</v>
      </c>
      <c r="D16" s="440" t="s">
        <v>391</v>
      </c>
      <c r="E16" s="442">
        <v>44476</v>
      </c>
      <c r="F16" s="442">
        <v>47033</v>
      </c>
      <c r="G16" s="443">
        <v>7.0054794520547947</v>
      </c>
      <c r="H16" s="444" t="s">
        <v>776</v>
      </c>
      <c r="I16" s="497" t="s">
        <v>392</v>
      </c>
      <c r="J16" s="467">
        <v>2.5000000000000001E-2</v>
      </c>
      <c r="K16" s="64"/>
      <c r="L16" s="476">
        <v>70500000000</v>
      </c>
      <c r="M16" s="486">
        <v>70500</v>
      </c>
      <c r="N16" s="447">
        <v>17080.681385933756</v>
      </c>
    </row>
    <row r="17" spans="2:14" ht="14.5">
      <c r="B17" s="46"/>
      <c r="C17" s="456"/>
      <c r="D17" s="503"/>
      <c r="E17" s="458"/>
      <c r="F17" s="458"/>
      <c r="G17" s="504"/>
      <c r="H17" s="505"/>
      <c r="I17" s="506"/>
      <c r="J17" s="463"/>
      <c r="K17" s="69"/>
      <c r="L17" s="502"/>
      <c r="M17" s="452">
        <v>228549.99999800001</v>
      </c>
      <c r="N17" s="453">
        <v>55372.903981858137</v>
      </c>
    </row>
    <row r="18" spans="2:14" ht="14.5">
      <c r="B18" s="46"/>
      <c r="C18" s="456"/>
      <c r="D18" s="503"/>
      <c r="E18" s="458"/>
      <c r="F18" s="458"/>
      <c r="G18" s="504"/>
      <c r="H18" s="505"/>
      <c r="I18" s="506"/>
      <c r="J18" s="463"/>
      <c r="K18" s="69"/>
      <c r="L18" s="502"/>
      <c r="M18" s="438"/>
      <c r="N18" s="438"/>
    </row>
    <row r="19" spans="2:14" ht="14">
      <c r="B19" s="767" t="s">
        <v>374</v>
      </c>
      <c r="C19" s="440" t="s">
        <v>786</v>
      </c>
      <c r="D19" s="440" t="s">
        <v>391</v>
      </c>
      <c r="E19" s="442">
        <v>42894</v>
      </c>
      <c r="F19" s="442">
        <v>45451</v>
      </c>
      <c r="G19" s="507">
        <v>7.0054794520547947</v>
      </c>
      <c r="H19" s="444" t="s">
        <v>719</v>
      </c>
      <c r="I19" s="497" t="s">
        <v>392</v>
      </c>
      <c r="J19" s="467">
        <v>0.03</v>
      </c>
      <c r="K19" s="64"/>
      <c r="L19" s="476">
        <v>6973515784.5</v>
      </c>
      <c r="M19" s="486">
        <v>6973.5157844395735</v>
      </c>
      <c r="N19" s="447">
        <v>1689.5376064367695</v>
      </c>
    </row>
    <row r="20" spans="2:14" ht="14">
      <c r="B20" s="768"/>
      <c r="C20" s="440" t="s">
        <v>786</v>
      </c>
      <c r="D20" s="440" t="s">
        <v>391</v>
      </c>
      <c r="E20" s="442">
        <v>42957</v>
      </c>
      <c r="F20" s="442">
        <v>45514</v>
      </c>
      <c r="G20" s="507">
        <v>7.0054794520547947</v>
      </c>
      <c r="H20" s="444" t="s">
        <v>719</v>
      </c>
      <c r="I20" s="497" t="s">
        <v>392</v>
      </c>
      <c r="J20" s="467">
        <v>0.03</v>
      </c>
      <c r="K20" s="69"/>
      <c r="L20" s="476">
        <v>19885489197.5</v>
      </c>
      <c r="M20" s="486">
        <v>19885.489197327686</v>
      </c>
      <c r="N20" s="447">
        <v>4817.8397898295289</v>
      </c>
    </row>
    <row r="21" spans="2:14" ht="14">
      <c r="B21" s="768"/>
      <c r="C21" s="440" t="s">
        <v>786</v>
      </c>
      <c r="D21" s="440" t="s">
        <v>391</v>
      </c>
      <c r="E21" s="442">
        <v>43095</v>
      </c>
      <c r="F21" s="442">
        <v>45652</v>
      </c>
      <c r="G21" s="507">
        <v>7.0054794520547947</v>
      </c>
      <c r="H21" s="444" t="s">
        <v>719</v>
      </c>
      <c r="I21" s="497" t="s">
        <v>392</v>
      </c>
      <c r="J21" s="467">
        <v>0.03</v>
      </c>
      <c r="K21" s="64"/>
      <c r="L21" s="476">
        <v>6226353466.875</v>
      </c>
      <c r="M21" s="486">
        <v>6226.3534668210477</v>
      </c>
      <c r="N21" s="447">
        <v>1508.5157413187856</v>
      </c>
    </row>
    <row r="22" spans="2:14" ht="14">
      <c r="B22" s="768"/>
      <c r="C22" s="440" t="s">
        <v>780</v>
      </c>
      <c r="D22" s="440" t="s">
        <v>391</v>
      </c>
      <c r="E22" s="442">
        <v>43231</v>
      </c>
      <c r="F22" s="442">
        <v>47068</v>
      </c>
      <c r="G22" s="507">
        <v>10.512328767123288</v>
      </c>
      <c r="H22" s="444" t="s">
        <v>718</v>
      </c>
      <c r="I22" s="497" t="s">
        <v>392</v>
      </c>
      <c r="J22" s="467">
        <v>2.1999999999999999E-2</v>
      </c>
      <c r="K22" s="69"/>
      <c r="L22" s="476">
        <v>55219047619</v>
      </c>
      <c r="M22" s="486">
        <v>55219.047618521516</v>
      </c>
      <c r="N22" s="447">
        <v>13378.42494761234</v>
      </c>
    </row>
    <row r="23" spans="2:14" ht="14">
      <c r="B23" s="768"/>
      <c r="C23" s="440" t="s">
        <v>780</v>
      </c>
      <c r="D23" s="440" t="s">
        <v>391</v>
      </c>
      <c r="E23" s="442">
        <v>43406</v>
      </c>
      <c r="F23" s="442">
        <v>47059</v>
      </c>
      <c r="G23" s="507">
        <v>10.008219178082191</v>
      </c>
      <c r="H23" s="444" t="s">
        <v>718</v>
      </c>
      <c r="I23" s="497" t="s">
        <v>392</v>
      </c>
      <c r="J23" s="467">
        <v>2.1999999999999999E-2</v>
      </c>
      <c r="K23" s="64"/>
      <c r="L23" s="476">
        <v>21357142858</v>
      </c>
      <c r="M23" s="486">
        <v>21357.142857814935</v>
      </c>
      <c r="N23" s="447">
        <v>5174.3908151518808</v>
      </c>
    </row>
    <row r="24" spans="2:14" ht="14">
      <c r="B24" s="768"/>
      <c r="C24" s="440" t="s">
        <v>780</v>
      </c>
      <c r="D24" s="440" t="s">
        <v>391</v>
      </c>
      <c r="E24" s="442">
        <v>43515</v>
      </c>
      <c r="F24" s="442">
        <v>47168</v>
      </c>
      <c r="G24" s="507">
        <v>10.008219178082191</v>
      </c>
      <c r="H24" s="444" t="s">
        <v>718</v>
      </c>
      <c r="I24" s="497" t="s">
        <v>392</v>
      </c>
      <c r="J24" s="467">
        <v>2.1999999999999999E-2</v>
      </c>
      <c r="K24" s="69"/>
      <c r="L24" s="476">
        <v>5519066114</v>
      </c>
      <c r="M24" s="486">
        <v>5519.0661139521762</v>
      </c>
      <c r="N24" s="447">
        <v>1337.1547495080949</v>
      </c>
    </row>
    <row r="25" spans="2:14" ht="14">
      <c r="B25" s="768"/>
      <c r="C25" s="440" t="s">
        <v>787</v>
      </c>
      <c r="D25" s="440" t="s">
        <v>391</v>
      </c>
      <c r="E25" s="442">
        <v>43608</v>
      </c>
      <c r="F25" s="442">
        <v>47261</v>
      </c>
      <c r="G25" s="507">
        <v>10.008219178082191</v>
      </c>
      <c r="H25" s="444" t="s">
        <v>718</v>
      </c>
      <c r="I25" s="497" t="s">
        <v>392</v>
      </c>
      <c r="J25" s="467">
        <v>3.3000000000000002E-2</v>
      </c>
      <c r="K25" s="69"/>
      <c r="L25" s="476">
        <v>9000000000</v>
      </c>
      <c r="M25" s="486">
        <v>8999.9999999220126</v>
      </c>
      <c r="N25" s="447">
        <v>2180.5125173343508</v>
      </c>
    </row>
    <row r="26" spans="2:14" ht="14">
      <c r="B26" s="768"/>
      <c r="C26" s="440" t="s">
        <v>787</v>
      </c>
      <c r="D26" s="440" t="s">
        <v>391</v>
      </c>
      <c r="E26" s="442">
        <v>43608</v>
      </c>
      <c r="F26" s="442">
        <v>47261</v>
      </c>
      <c r="G26" s="507">
        <v>10.008219178082191</v>
      </c>
      <c r="H26" s="444" t="s">
        <v>718</v>
      </c>
      <c r="I26" s="497" t="s">
        <v>392</v>
      </c>
      <c r="J26" s="467">
        <v>3.3000000000000002E-2</v>
      </c>
      <c r="K26" s="64"/>
      <c r="L26" s="476">
        <v>9000000000</v>
      </c>
      <c r="M26" s="486">
        <v>8999.9999999220126</v>
      </c>
      <c r="N26" s="447">
        <v>2180.5125173343508</v>
      </c>
    </row>
    <row r="27" spans="2:14" ht="14">
      <c r="B27" s="768"/>
      <c r="C27" s="440" t="s">
        <v>787</v>
      </c>
      <c r="D27" s="440" t="s">
        <v>391</v>
      </c>
      <c r="E27" s="442">
        <v>43936</v>
      </c>
      <c r="F27" s="442">
        <v>47588</v>
      </c>
      <c r="G27" s="507">
        <v>10.005479452054795</v>
      </c>
      <c r="H27" s="444" t="s">
        <v>719</v>
      </c>
      <c r="I27" s="497" t="s">
        <v>392</v>
      </c>
      <c r="J27" s="467">
        <v>3.1899999999999998E-2</v>
      </c>
      <c r="K27" s="69"/>
      <c r="L27" s="476">
        <v>10000000000</v>
      </c>
      <c r="M27" s="486">
        <v>9999.9999999133488</v>
      </c>
      <c r="N27" s="447">
        <v>2422.7916859270567</v>
      </c>
    </row>
    <row r="28" spans="2:14" ht="14">
      <c r="B28" s="768"/>
      <c r="C28" s="440" t="s">
        <v>786</v>
      </c>
      <c r="D28" s="440" t="s">
        <v>391</v>
      </c>
      <c r="E28" s="442">
        <v>43977</v>
      </c>
      <c r="F28" s="442">
        <v>46533</v>
      </c>
      <c r="G28" s="507">
        <v>7.0027397260273974</v>
      </c>
      <c r="H28" s="444" t="s">
        <v>719</v>
      </c>
      <c r="I28" s="497" t="s">
        <v>392</v>
      </c>
      <c r="J28" s="467">
        <v>4.8500000000000001E-2</v>
      </c>
      <c r="K28" s="64"/>
      <c r="L28" s="476">
        <v>12000000000</v>
      </c>
      <c r="M28" s="486">
        <v>11999.999999896017</v>
      </c>
      <c r="N28" s="447">
        <v>2907.3500231124676</v>
      </c>
    </row>
    <row r="29" spans="2:14" ht="14">
      <c r="B29" s="768"/>
      <c r="C29" s="440" t="s">
        <v>778</v>
      </c>
      <c r="D29" s="440" t="s">
        <v>391</v>
      </c>
      <c r="E29" s="442">
        <v>44088</v>
      </c>
      <c r="F29" s="442">
        <v>47740</v>
      </c>
      <c r="G29" s="507">
        <v>10.005479452054795</v>
      </c>
      <c r="H29" s="444" t="s">
        <v>719</v>
      </c>
      <c r="I29" s="497" t="s">
        <v>392</v>
      </c>
      <c r="J29" s="467">
        <v>3.4500000000000003E-2</v>
      </c>
      <c r="K29" s="64"/>
      <c r="L29" s="476">
        <v>3800000000</v>
      </c>
      <c r="M29" s="486">
        <v>3799.9999999670722</v>
      </c>
      <c r="N29" s="447">
        <v>920.66084065228142</v>
      </c>
    </row>
    <row r="30" spans="2:14" ht="14">
      <c r="B30" s="768"/>
      <c r="C30" s="440" t="s">
        <v>778</v>
      </c>
      <c r="D30" s="440" t="s">
        <v>391</v>
      </c>
      <c r="E30" s="442">
        <v>44160</v>
      </c>
      <c r="F30" s="442">
        <v>47740</v>
      </c>
      <c r="G30" s="507">
        <v>9.8082191780821919</v>
      </c>
      <c r="H30" s="444" t="s">
        <v>719</v>
      </c>
      <c r="I30" s="497" t="s">
        <v>392</v>
      </c>
      <c r="J30" s="467">
        <v>3.4500000000000003E-2</v>
      </c>
      <c r="K30" s="69"/>
      <c r="L30" s="476">
        <v>8000000000</v>
      </c>
      <c r="M30" s="486">
        <v>7999.9999999306783</v>
      </c>
      <c r="N30" s="447">
        <v>1938.2333487416449</v>
      </c>
    </row>
    <row r="31" spans="2:14" ht="14.5">
      <c r="B31" s="768"/>
      <c r="C31" s="440" t="s">
        <v>778</v>
      </c>
      <c r="D31" s="440" t="s">
        <v>391</v>
      </c>
      <c r="E31" s="442">
        <v>44183</v>
      </c>
      <c r="F31" s="442">
        <v>47740</v>
      </c>
      <c r="G31" s="507">
        <v>9.7452054794520553</v>
      </c>
      <c r="H31" s="444" t="s">
        <v>719</v>
      </c>
      <c r="I31" s="497" t="s">
        <v>392</v>
      </c>
      <c r="J31" s="467">
        <v>3.4500000000000003E-2</v>
      </c>
      <c r="K31" s="46"/>
      <c r="L31" s="476">
        <v>8200000000</v>
      </c>
      <c r="M31" s="486">
        <v>8199.9999999289448</v>
      </c>
      <c r="N31" s="447">
        <v>1986.689182460186</v>
      </c>
    </row>
    <row r="32" spans="2:14" ht="14.5">
      <c r="B32" s="768"/>
      <c r="C32" s="440" t="s">
        <v>786</v>
      </c>
      <c r="D32" s="440" t="s">
        <v>391</v>
      </c>
      <c r="E32" s="442">
        <v>44186</v>
      </c>
      <c r="F32" s="442">
        <v>46533</v>
      </c>
      <c r="G32" s="507">
        <v>6.4301369863013695</v>
      </c>
      <c r="H32" s="444" t="s">
        <v>719</v>
      </c>
      <c r="I32" s="497" t="s">
        <v>392</v>
      </c>
      <c r="J32" s="467">
        <v>4.8500000000000001E-2</v>
      </c>
      <c r="K32" s="46"/>
      <c r="L32" s="476">
        <v>6000000000</v>
      </c>
      <c r="M32" s="486">
        <v>5999.9999999480087</v>
      </c>
      <c r="N32" s="447">
        <v>1453.6750115562338</v>
      </c>
    </row>
    <row r="33" spans="2:14" ht="14.5">
      <c r="B33" s="768"/>
      <c r="C33" s="440" t="s">
        <v>778</v>
      </c>
      <c r="D33" s="440" t="s">
        <v>391</v>
      </c>
      <c r="E33" s="442">
        <v>43998</v>
      </c>
      <c r="F33" s="442">
        <v>47923</v>
      </c>
      <c r="G33" s="507">
        <v>10.753424657534246</v>
      </c>
      <c r="H33" s="444" t="s">
        <v>719</v>
      </c>
      <c r="I33" s="497" t="s">
        <v>392</v>
      </c>
      <c r="J33" s="467">
        <v>3.9899999999999998E-2</v>
      </c>
      <c r="K33" s="46"/>
      <c r="L33" s="476">
        <v>7000000000</v>
      </c>
      <c r="M33" s="486">
        <v>6999.999999939344</v>
      </c>
      <c r="N33" s="447">
        <v>1695.9541801489395</v>
      </c>
    </row>
    <row r="34" spans="2:14" ht="14.5">
      <c r="B34" s="768"/>
      <c r="C34" s="440" t="s">
        <v>778</v>
      </c>
      <c r="D34" s="440" t="s">
        <v>391</v>
      </c>
      <c r="E34" s="442">
        <v>44476</v>
      </c>
      <c r="F34" s="442">
        <v>48015</v>
      </c>
      <c r="G34" s="507">
        <v>9.6958904109589046</v>
      </c>
      <c r="H34" s="444" t="s">
        <v>719</v>
      </c>
      <c r="I34" s="497" t="s">
        <v>392</v>
      </c>
      <c r="J34" s="467">
        <v>3.9899999999999998E-2</v>
      </c>
      <c r="K34" s="46"/>
      <c r="L34" s="476">
        <v>7000000000</v>
      </c>
      <c r="M34" s="486">
        <v>6999.999999939344</v>
      </c>
      <c r="N34" s="447">
        <v>1695.9541801489395</v>
      </c>
    </row>
    <row r="35" spans="2:14" ht="14.5">
      <c r="B35" s="768"/>
      <c r="C35" s="440" t="s">
        <v>778</v>
      </c>
      <c r="D35" s="440" t="s">
        <v>391</v>
      </c>
      <c r="E35" s="442">
        <v>44511</v>
      </c>
      <c r="F35" s="442">
        <v>48015</v>
      </c>
      <c r="G35" s="507">
        <v>9.6</v>
      </c>
      <c r="H35" s="444" t="s">
        <v>719</v>
      </c>
      <c r="I35" s="497" t="s">
        <v>392</v>
      </c>
      <c r="J35" s="467">
        <v>3.9899999999999998E-2</v>
      </c>
      <c r="K35" s="46"/>
      <c r="L35" s="476">
        <v>16000000000</v>
      </c>
      <c r="M35" s="486">
        <v>15999.999999861357</v>
      </c>
      <c r="N35" s="447">
        <v>3876.4666974832899</v>
      </c>
    </row>
    <row r="36" spans="2:14" ht="14.5">
      <c r="B36" s="768"/>
      <c r="C36" s="440" t="s">
        <v>778</v>
      </c>
      <c r="D36" s="440" t="s">
        <v>391</v>
      </c>
      <c r="E36" s="442">
        <v>44529</v>
      </c>
      <c r="F36" s="442">
        <v>48015</v>
      </c>
      <c r="G36" s="507">
        <v>9.5506849315068489</v>
      </c>
      <c r="H36" s="444" t="s">
        <v>719</v>
      </c>
      <c r="I36" s="497" t="s">
        <v>392</v>
      </c>
      <c r="J36" s="467">
        <v>3.9899999999999998E-2</v>
      </c>
      <c r="K36" s="46"/>
      <c r="L36" s="476">
        <v>20000000000</v>
      </c>
      <c r="M36" s="486">
        <v>19999.999999826698</v>
      </c>
      <c r="N36" s="447">
        <v>4845.5833718541135</v>
      </c>
    </row>
    <row r="37" spans="2:14" ht="14.5">
      <c r="B37" s="768"/>
      <c r="C37" s="440" t="s">
        <v>780</v>
      </c>
      <c r="D37" s="440" t="s">
        <v>391</v>
      </c>
      <c r="E37" s="442">
        <v>44644</v>
      </c>
      <c r="F37" s="442">
        <v>45009</v>
      </c>
      <c r="G37" s="507">
        <v>1</v>
      </c>
      <c r="H37" s="444" t="s">
        <v>719</v>
      </c>
      <c r="I37" s="497" t="s">
        <v>392</v>
      </c>
      <c r="J37" s="467">
        <v>2.2599999999999999E-2</v>
      </c>
      <c r="K37" s="46"/>
      <c r="L37" s="476">
        <v>7500000000</v>
      </c>
      <c r="M37" s="486">
        <v>7499.9999999350111</v>
      </c>
      <c r="N37" s="447">
        <v>1817.0937644452922</v>
      </c>
    </row>
    <row r="38" spans="2:14" ht="14.5">
      <c r="B38" s="768"/>
      <c r="C38" s="440" t="s">
        <v>780</v>
      </c>
      <c r="D38" s="440" t="s">
        <v>391</v>
      </c>
      <c r="E38" s="442">
        <v>44694</v>
      </c>
      <c r="F38" s="442">
        <v>45059</v>
      </c>
      <c r="G38" s="507">
        <v>1</v>
      </c>
      <c r="H38" s="444" t="s">
        <v>719</v>
      </c>
      <c r="I38" s="497" t="s">
        <v>392</v>
      </c>
      <c r="J38" s="467">
        <v>2.47E-2</v>
      </c>
      <c r="K38" s="46"/>
      <c r="L38" s="476">
        <v>14422000000</v>
      </c>
      <c r="M38" s="486">
        <v>14421.99999987503</v>
      </c>
      <c r="N38" s="447">
        <v>3494.1501694440003</v>
      </c>
    </row>
    <row r="39" spans="2:14" ht="14.5">
      <c r="B39" s="769"/>
      <c r="C39" s="440" t="s">
        <v>786</v>
      </c>
      <c r="D39" s="440" t="s">
        <v>391</v>
      </c>
      <c r="E39" s="442">
        <v>44722</v>
      </c>
      <c r="F39" s="442">
        <v>46548</v>
      </c>
      <c r="G39" s="507">
        <v>5.0027397260273974</v>
      </c>
      <c r="H39" s="444" t="s">
        <v>719</v>
      </c>
      <c r="I39" s="497" t="s">
        <v>392</v>
      </c>
      <c r="J39" s="467">
        <v>2.6499999999999999E-2</v>
      </c>
      <c r="K39" s="46"/>
      <c r="L39" s="476">
        <v>12900000000</v>
      </c>
      <c r="M39" s="486">
        <v>12899.999999888219</v>
      </c>
      <c r="N39" s="447">
        <v>3125.4012748459031</v>
      </c>
    </row>
    <row r="40" spans="2:14" ht="14.5">
      <c r="B40" s="46"/>
      <c r="C40" s="456"/>
      <c r="D40" s="456"/>
      <c r="E40" s="458"/>
      <c r="F40" s="458"/>
      <c r="G40" s="460"/>
      <c r="H40" s="478"/>
      <c r="I40" s="478"/>
      <c r="J40" s="478"/>
      <c r="K40" s="69"/>
      <c r="L40" s="478"/>
      <c r="M40" s="452">
        <v>266002.61503757007</v>
      </c>
      <c r="N40" s="453">
        <v>64446.892415346454</v>
      </c>
    </row>
    <row r="41" spans="2:14" ht="14.5">
      <c r="B41" s="46"/>
      <c r="C41" s="456"/>
      <c r="D41" s="456"/>
      <c r="E41" s="458"/>
      <c r="F41" s="458"/>
      <c r="G41" s="460"/>
      <c r="H41" s="478"/>
      <c r="I41" s="478"/>
      <c r="J41" s="478"/>
      <c r="K41" s="69"/>
      <c r="L41" s="478"/>
      <c r="M41" s="438"/>
      <c r="N41" s="438"/>
    </row>
    <row r="42" spans="2:14" ht="14.5" thickBot="1">
      <c r="B42" s="433" t="s">
        <v>375</v>
      </c>
      <c r="C42" s="433"/>
      <c r="D42" s="433"/>
      <c r="E42" s="433"/>
      <c r="F42" s="433"/>
      <c r="G42" s="433"/>
      <c r="H42" s="433"/>
      <c r="I42" s="734"/>
      <c r="J42" s="434"/>
      <c r="K42" s="64"/>
      <c r="L42" s="434"/>
      <c r="M42" s="435">
        <v>1111869.6209929788</v>
      </c>
      <c r="N42" s="436">
        <v>269382.84735999984</v>
      </c>
    </row>
    <row r="43" spans="2:14" ht="14.5" thickTop="1">
      <c r="B43" s="468"/>
      <c r="C43" s="432"/>
      <c r="D43" s="508"/>
      <c r="E43" s="432"/>
      <c r="F43" s="432"/>
      <c r="G43" s="432"/>
      <c r="H43" s="432"/>
      <c r="I43" s="432"/>
      <c r="J43" s="432"/>
      <c r="K43" s="69"/>
      <c r="L43" s="432"/>
      <c r="M43" s="438"/>
      <c r="N43" s="438"/>
    </row>
    <row r="44" spans="2:14" ht="14">
      <c r="B44" s="767" t="s">
        <v>8</v>
      </c>
      <c r="C44" s="440" t="s">
        <v>779</v>
      </c>
      <c r="D44" s="440" t="s">
        <v>394</v>
      </c>
      <c r="E44" s="471">
        <v>43728</v>
      </c>
      <c r="F44" s="471">
        <v>45913</v>
      </c>
      <c r="G44" s="736">
        <v>5.9863013698630141</v>
      </c>
      <c r="H44" s="473" t="s">
        <v>784</v>
      </c>
      <c r="I44" s="509"/>
      <c r="J44" s="475">
        <v>3.1E-2</v>
      </c>
      <c r="K44" s="64"/>
      <c r="L44" s="476">
        <v>70000000</v>
      </c>
      <c r="M44" s="486">
        <v>288714.1310627496</v>
      </c>
      <c r="N44" s="447">
        <v>69949.419635454542</v>
      </c>
    </row>
    <row r="45" spans="2:14" ht="14">
      <c r="B45" s="768"/>
      <c r="C45" s="440" t="s">
        <v>906</v>
      </c>
      <c r="D45" s="440" t="s">
        <v>394</v>
      </c>
      <c r="E45" s="471">
        <v>44362</v>
      </c>
      <c r="F45" s="471">
        <v>44727</v>
      </c>
      <c r="G45" s="736">
        <v>1</v>
      </c>
      <c r="H45" s="473" t="s">
        <v>784</v>
      </c>
      <c r="I45" s="509"/>
      <c r="J45" s="475">
        <v>1.0800000000000001E-2</v>
      </c>
      <c r="K45" s="64"/>
      <c r="L45" s="476">
        <v>0</v>
      </c>
      <c r="M45" s="486">
        <v>0</v>
      </c>
      <c r="N45" s="447">
        <v>0</v>
      </c>
    </row>
    <row r="46" spans="2:14" ht="14">
      <c r="B46" s="768"/>
      <c r="C46" s="440" t="s">
        <v>907</v>
      </c>
      <c r="D46" s="440" t="s">
        <v>394</v>
      </c>
      <c r="E46" s="471">
        <v>44362</v>
      </c>
      <c r="F46" s="471">
        <v>44727</v>
      </c>
      <c r="G46" s="736">
        <v>1</v>
      </c>
      <c r="H46" s="473" t="s">
        <v>784</v>
      </c>
      <c r="I46" s="509"/>
      <c r="J46" s="475">
        <v>2.5700000000000001E-2</v>
      </c>
      <c r="K46" s="64"/>
      <c r="L46" s="476">
        <v>0</v>
      </c>
      <c r="M46" s="486">
        <v>0</v>
      </c>
      <c r="N46" s="447">
        <v>0</v>
      </c>
    </row>
    <row r="47" spans="2:14" ht="14">
      <c r="B47" s="768"/>
      <c r="C47" s="440" t="s">
        <v>907</v>
      </c>
      <c r="D47" s="440" t="s">
        <v>394</v>
      </c>
      <c r="E47" s="471">
        <v>44714</v>
      </c>
      <c r="F47" s="471">
        <v>45079</v>
      </c>
      <c r="G47" s="736">
        <v>1</v>
      </c>
      <c r="H47" s="473" t="s">
        <v>784</v>
      </c>
      <c r="I47" s="509"/>
      <c r="J47" s="475">
        <v>2.5700000000000001E-2</v>
      </c>
      <c r="K47" s="64"/>
      <c r="L47" s="476">
        <v>10000000</v>
      </c>
      <c r="M47" s="486">
        <v>41244.875866107075</v>
      </c>
      <c r="N47" s="447">
        <v>9992.7742336363608</v>
      </c>
    </row>
    <row r="48" spans="2:14" ht="14">
      <c r="B48" s="769"/>
      <c r="C48" s="440" t="s">
        <v>907</v>
      </c>
      <c r="D48" s="440" t="s">
        <v>394</v>
      </c>
      <c r="E48" s="471">
        <v>44714</v>
      </c>
      <c r="F48" s="471">
        <v>45079</v>
      </c>
      <c r="G48" s="736">
        <v>1</v>
      </c>
      <c r="H48" s="473" t="s">
        <v>784</v>
      </c>
      <c r="I48" s="509"/>
      <c r="J48" s="475">
        <v>2.5700000000000001E-2</v>
      </c>
      <c r="K48" s="69"/>
      <c r="L48" s="476">
        <v>30000000</v>
      </c>
      <c r="M48" s="486">
        <v>123734.62759832127</v>
      </c>
      <c r="N48" s="447">
        <v>29978.322700909095</v>
      </c>
    </row>
    <row r="49" spans="2:14" ht="14">
      <c r="B49" s="510"/>
      <c r="C49" s="456"/>
      <c r="D49" s="503"/>
      <c r="E49" s="458"/>
      <c r="F49" s="458"/>
      <c r="G49" s="457"/>
      <c r="H49" s="478"/>
      <c r="I49" s="478"/>
      <c r="J49" s="479"/>
      <c r="K49" s="64"/>
      <c r="L49" s="511"/>
      <c r="M49" s="452">
        <v>453693.6345271779</v>
      </c>
      <c r="N49" s="453">
        <v>109920.51656999999</v>
      </c>
    </row>
    <row r="50" spans="2:14" ht="14">
      <c r="B50" s="468"/>
      <c r="C50" s="432"/>
      <c r="D50" s="508"/>
      <c r="E50" s="432"/>
      <c r="F50" s="432"/>
      <c r="G50" s="432"/>
      <c r="H50" s="432"/>
      <c r="I50" s="432"/>
      <c r="J50" s="432"/>
      <c r="K50" s="69"/>
      <c r="L50" s="512"/>
      <c r="M50" s="438"/>
      <c r="N50" s="438"/>
    </row>
    <row r="51" spans="2:14" ht="14">
      <c r="B51" s="767" t="s">
        <v>1224</v>
      </c>
      <c r="C51" s="440" t="s">
        <v>1085</v>
      </c>
      <c r="D51" s="440" t="s">
        <v>394</v>
      </c>
      <c r="E51" s="442">
        <v>44067</v>
      </c>
      <c r="F51" s="442">
        <v>44797</v>
      </c>
      <c r="G51" s="443">
        <v>2</v>
      </c>
      <c r="H51" s="444" t="s">
        <v>789</v>
      </c>
      <c r="I51" s="497" t="s">
        <v>392</v>
      </c>
      <c r="J51" s="475">
        <v>1.2500000000000001E-2</v>
      </c>
      <c r="K51" s="69"/>
      <c r="L51" s="476">
        <v>82500000</v>
      </c>
      <c r="M51" s="486">
        <v>340516.27496372769</v>
      </c>
      <c r="N51" s="447">
        <v>82499.999991211967</v>
      </c>
    </row>
    <row r="52" spans="2:14" ht="14">
      <c r="B52" s="769"/>
      <c r="C52" s="440" t="s">
        <v>779</v>
      </c>
      <c r="D52" s="440" t="s">
        <v>790</v>
      </c>
      <c r="E52" s="442">
        <v>44675</v>
      </c>
      <c r="F52" s="442">
        <v>46350</v>
      </c>
      <c r="G52" s="443">
        <v>4.5890410958904111</v>
      </c>
      <c r="H52" s="444" t="s">
        <v>784</v>
      </c>
      <c r="I52" s="497">
        <v>0</v>
      </c>
      <c r="J52" s="475">
        <v>7.1499999999999994E-2</v>
      </c>
      <c r="K52" s="69"/>
      <c r="L52" s="476">
        <v>249258000</v>
      </c>
      <c r="M52" s="486">
        <v>271595.80706188228</v>
      </c>
      <c r="N52" s="447">
        <v>65802.006328787917</v>
      </c>
    </row>
    <row r="53" spans="2:14" ht="14">
      <c r="B53" s="450"/>
      <c r="C53" s="513"/>
      <c r="D53" s="514"/>
      <c r="E53" s="515"/>
      <c r="F53" s="515"/>
      <c r="G53" s="516"/>
      <c r="H53" s="517"/>
      <c r="I53" s="518"/>
      <c r="J53" s="519"/>
      <c r="K53" s="64"/>
      <c r="L53" s="520"/>
      <c r="M53" s="452">
        <v>612112.08202560991</v>
      </c>
      <c r="N53" s="453">
        <v>148302.00631999987</v>
      </c>
    </row>
    <row r="54" spans="2:14" ht="14.5">
      <c r="B54" s="46"/>
      <c r="C54" s="513"/>
      <c r="D54" s="514"/>
      <c r="E54" s="515"/>
      <c r="F54" s="515"/>
      <c r="G54" s="516"/>
      <c r="H54" s="517"/>
      <c r="I54" s="518"/>
      <c r="J54" s="519"/>
      <c r="K54" s="69"/>
      <c r="L54" s="520"/>
      <c r="M54" s="438"/>
      <c r="N54" s="438"/>
    </row>
    <row r="55" spans="2:14" ht="14">
      <c r="B55" s="521" t="s">
        <v>680</v>
      </c>
      <c r="C55" s="440" t="s">
        <v>1064</v>
      </c>
      <c r="D55" s="440" t="s">
        <v>394</v>
      </c>
      <c r="E55" s="442">
        <v>44305</v>
      </c>
      <c r="F55" s="442">
        <v>44844</v>
      </c>
      <c r="G55" s="507">
        <v>1.4767123287671233</v>
      </c>
      <c r="H55" s="473" t="s">
        <v>784</v>
      </c>
      <c r="I55" s="497">
        <v>0</v>
      </c>
      <c r="J55" s="467">
        <v>2.23E-2</v>
      </c>
      <c r="K55" s="64"/>
      <c r="L55" s="476">
        <v>1100000</v>
      </c>
      <c r="M55" s="486">
        <v>4540.2169999999996</v>
      </c>
      <c r="N55" s="447">
        <v>1099.9999999999998</v>
      </c>
    </row>
    <row r="56" spans="2:14" ht="14.5">
      <c r="B56" s="46"/>
      <c r="C56" s="46"/>
      <c r="D56" s="46"/>
      <c r="E56" s="46"/>
      <c r="F56" s="46"/>
      <c r="G56" s="46"/>
      <c r="H56" s="46"/>
      <c r="I56" s="56"/>
      <c r="J56" s="46"/>
      <c r="K56" s="46"/>
      <c r="L56" s="46"/>
      <c r="M56" s="452">
        <v>4540.2169999999996</v>
      </c>
      <c r="N56" s="453">
        <v>1099.9999999999998</v>
      </c>
    </row>
    <row r="57" spans="2:14" ht="14.5">
      <c r="B57" s="46"/>
      <c r="C57" s="46"/>
      <c r="D57" s="46"/>
      <c r="E57" s="46"/>
      <c r="F57" s="46"/>
      <c r="G57" s="46"/>
      <c r="H57" s="46"/>
      <c r="I57" s="56"/>
      <c r="J57" s="46"/>
      <c r="K57" s="46"/>
      <c r="L57" s="46"/>
      <c r="M57" s="46"/>
      <c r="N57" s="46"/>
    </row>
    <row r="58" spans="2:14" ht="14">
      <c r="B58" s="767" t="s">
        <v>378</v>
      </c>
      <c r="C58" s="440" t="s">
        <v>788</v>
      </c>
      <c r="D58" s="440" t="s">
        <v>394</v>
      </c>
      <c r="E58" s="442">
        <v>42405</v>
      </c>
      <c r="F58" s="442">
        <v>45501</v>
      </c>
      <c r="G58" s="443">
        <v>8.4821917808219176</v>
      </c>
      <c r="H58" s="444" t="s">
        <v>789</v>
      </c>
      <c r="I58" s="497" t="s">
        <v>392</v>
      </c>
      <c r="J58" s="467">
        <v>2.2499999999999999E-2</v>
      </c>
      <c r="K58" s="64"/>
      <c r="L58" s="476">
        <v>2933333.3333333335</v>
      </c>
      <c r="M58" s="486">
        <v>12107.245285331986</v>
      </c>
      <c r="N58" s="447">
        <v>2933.3333217036065</v>
      </c>
    </row>
    <row r="59" spans="2:14" ht="14">
      <c r="B59" s="768"/>
      <c r="C59" s="440" t="s">
        <v>788</v>
      </c>
      <c r="D59" s="440" t="s">
        <v>790</v>
      </c>
      <c r="E59" s="442">
        <v>43959</v>
      </c>
      <c r="F59" s="442">
        <v>45039</v>
      </c>
      <c r="G59" s="443">
        <v>2.9589041095890409</v>
      </c>
      <c r="H59" s="444" t="s">
        <v>784</v>
      </c>
      <c r="I59" s="497"/>
      <c r="J59" s="467">
        <v>9.7999999999999997E-3</v>
      </c>
      <c r="K59" s="64"/>
      <c r="L59" s="476">
        <v>2753842.5767813586</v>
      </c>
      <c r="M59" s="486">
        <v>3000.634259589126</v>
      </c>
      <c r="N59" s="447">
        <v>726.99117367034182</v>
      </c>
    </row>
    <row r="60" spans="2:14" ht="14">
      <c r="B60" s="768"/>
      <c r="C60" s="440" t="s">
        <v>1225</v>
      </c>
      <c r="D60" s="440" t="s">
        <v>394</v>
      </c>
      <c r="E60" s="442">
        <v>44650</v>
      </c>
      <c r="F60" s="442">
        <v>44830</v>
      </c>
      <c r="G60" s="443">
        <v>0.49315068493150682</v>
      </c>
      <c r="H60" s="444" t="s">
        <v>784</v>
      </c>
      <c r="I60" s="497"/>
      <c r="J60" s="467">
        <v>3.3300000000000003E-2</v>
      </c>
      <c r="K60" s="64"/>
      <c r="L60" s="476">
        <v>1500000</v>
      </c>
      <c r="M60" s="486">
        <v>6191.2049754538557</v>
      </c>
      <c r="N60" s="447">
        <v>1499.9999940529804</v>
      </c>
    </row>
    <row r="61" spans="2:14" ht="14">
      <c r="B61" s="769"/>
      <c r="C61" s="440" t="s">
        <v>1225</v>
      </c>
      <c r="D61" s="440" t="s">
        <v>394</v>
      </c>
      <c r="E61" s="442">
        <v>44708</v>
      </c>
      <c r="F61" s="442">
        <v>46534</v>
      </c>
      <c r="G61" s="443">
        <v>5.0027397260273974</v>
      </c>
      <c r="H61" s="444" t="s">
        <v>1226</v>
      </c>
      <c r="I61" s="497"/>
      <c r="J61" s="467">
        <v>3.8199999999999998E-2</v>
      </c>
      <c r="K61" s="69"/>
      <c r="L61" s="476">
        <v>4900000</v>
      </c>
      <c r="M61" s="486">
        <v>20224.60291981593</v>
      </c>
      <c r="N61" s="447">
        <v>4899.9999805730704</v>
      </c>
    </row>
    <row r="62" spans="2:14" ht="14">
      <c r="B62" s="510"/>
      <c r="C62" s="456"/>
      <c r="D62" s="522"/>
      <c r="E62" s="458"/>
      <c r="F62" s="458"/>
      <c r="G62" s="460"/>
      <c r="H62" s="478"/>
      <c r="I62" s="478"/>
      <c r="J62" s="478"/>
      <c r="K62" s="64"/>
      <c r="L62" s="478"/>
      <c r="M62" s="452">
        <v>41523.687440190901</v>
      </c>
      <c r="N62" s="453">
        <v>10060.32447</v>
      </c>
    </row>
    <row r="63" spans="2:14" ht="14">
      <c r="B63" s="455"/>
      <c r="C63" s="456"/>
      <c r="D63" s="522"/>
      <c r="E63" s="458"/>
      <c r="F63" s="458"/>
      <c r="G63" s="460"/>
      <c r="H63" s="478"/>
      <c r="I63" s="478"/>
      <c r="J63" s="478"/>
      <c r="K63" s="69"/>
      <c r="L63" s="478"/>
      <c r="M63" s="438"/>
      <c r="N63" s="438"/>
    </row>
    <row r="64" spans="2:14" ht="14.5" thickBot="1">
      <c r="B64" s="433" t="s">
        <v>379</v>
      </c>
      <c r="C64" s="433"/>
      <c r="D64" s="433"/>
      <c r="E64" s="433"/>
      <c r="F64" s="433"/>
      <c r="G64" s="433"/>
      <c r="H64" s="433"/>
      <c r="I64" s="734"/>
      <c r="J64" s="434"/>
      <c r="K64" s="64"/>
      <c r="L64" s="434"/>
      <c r="M64" s="435">
        <v>694631.84854494093</v>
      </c>
      <c r="N64" s="436">
        <v>168294.82674494083</v>
      </c>
    </row>
    <row r="65" spans="2:14" ht="14.5" thickTop="1">
      <c r="B65" s="468"/>
      <c r="C65" s="432"/>
      <c r="D65" s="508"/>
      <c r="E65" s="432"/>
      <c r="F65" s="432"/>
      <c r="G65" s="432"/>
      <c r="H65" s="432"/>
      <c r="I65" s="432"/>
      <c r="J65" s="432"/>
      <c r="K65" s="69"/>
      <c r="L65" s="432"/>
      <c r="M65" s="523"/>
      <c r="N65" s="523"/>
    </row>
    <row r="66" spans="2:14" ht="14">
      <c r="B66" s="770" t="s">
        <v>380</v>
      </c>
      <c r="C66" s="641" t="s">
        <v>791</v>
      </c>
      <c r="D66" s="440" t="s">
        <v>395</v>
      </c>
      <c r="E66" s="442">
        <v>41668</v>
      </c>
      <c r="F66" s="442">
        <v>47192</v>
      </c>
      <c r="G66" s="443">
        <v>15.134246575342466</v>
      </c>
      <c r="H66" s="473" t="s">
        <v>792</v>
      </c>
      <c r="I66" s="497" t="s">
        <v>392</v>
      </c>
      <c r="J66" s="467">
        <v>1.7999999999999999E-2</v>
      </c>
      <c r="K66" s="69"/>
      <c r="L66" s="476">
        <v>129931811.05</v>
      </c>
      <c r="M66" s="486">
        <v>102384.43147931161</v>
      </c>
      <c r="N66" s="447">
        <v>24805.614935859398</v>
      </c>
    </row>
    <row r="67" spans="2:14" ht="14">
      <c r="B67" s="771"/>
      <c r="C67" s="641" t="s">
        <v>793</v>
      </c>
      <c r="D67" s="440" t="s">
        <v>395</v>
      </c>
      <c r="E67" s="442">
        <v>41668</v>
      </c>
      <c r="F67" s="442">
        <v>45306</v>
      </c>
      <c r="G67" s="443">
        <v>9.9671232876712335</v>
      </c>
      <c r="H67" s="473" t="s">
        <v>784</v>
      </c>
      <c r="I67" s="497">
        <v>0</v>
      </c>
      <c r="J67" s="467">
        <v>3.5000000000000003E-2</v>
      </c>
      <c r="K67" s="64"/>
      <c r="L67" s="476">
        <v>16167540.4</v>
      </c>
      <c r="M67" s="486">
        <v>12739.793426228873</v>
      </c>
      <c r="N67" s="447">
        <v>3086.5865593762937</v>
      </c>
    </row>
    <row r="68" spans="2:14" ht="14">
      <c r="B68" s="771"/>
      <c r="C68" s="641" t="s">
        <v>794</v>
      </c>
      <c r="D68" s="440" t="s">
        <v>395</v>
      </c>
      <c r="E68" s="442">
        <v>41668</v>
      </c>
      <c r="F68" s="442">
        <v>47192</v>
      </c>
      <c r="G68" s="443">
        <v>15.134246575342466</v>
      </c>
      <c r="H68" s="473" t="s">
        <v>792</v>
      </c>
      <c r="I68" s="497" t="s">
        <v>392</v>
      </c>
      <c r="J68" s="467">
        <v>0</v>
      </c>
      <c r="K68" s="69"/>
      <c r="L68" s="476">
        <v>1080771.76</v>
      </c>
      <c r="M68" s="486">
        <v>851.63287814031446</v>
      </c>
      <c r="N68" s="447">
        <v>206.3329056638363</v>
      </c>
    </row>
    <row r="69" spans="2:14" ht="14">
      <c r="B69" s="771"/>
      <c r="C69" s="641" t="s">
        <v>795</v>
      </c>
      <c r="D69" s="440" t="s">
        <v>395</v>
      </c>
      <c r="E69" s="442">
        <v>42955</v>
      </c>
      <c r="F69" s="442">
        <v>48288</v>
      </c>
      <c r="G69" s="443">
        <v>14.610958904109589</v>
      </c>
      <c r="H69" s="473" t="s">
        <v>792</v>
      </c>
      <c r="I69" s="497" t="s">
        <v>392</v>
      </c>
      <c r="J69" s="467">
        <v>2.6200000000000001E-2</v>
      </c>
      <c r="K69" s="69"/>
      <c r="L69" s="476">
        <v>190285107.25999999</v>
      </c>
      <c r="M69" s="486">
        <v>149941.9762439687</v>
      </c>
      <c r="N69" s="447">
        <v>36327.817341850743</v>
      </c>
    </row>
    <row r="70" spans="2:14" ht="14">
      <c r="B70" s="771"/>
      <c r="C70" s="641" t="s">
        <v>796</v>
      </c>
      <c r="D70" s="440" t="s">
        <v>395</v>
      </c>
      <c r="E70" s="442">
        <v>42955</v>
      </c>
      <c r="F70" s="442">
        <v>48288</v>
      </c>
      <c r="G70" s="443">
        <v>14.610958904109589</v>
      </c>
      <c r="H70" s="473" t="s">
        <v>792</v>
      </c>
      <c r="I70" s="497" t="s">
        <v>392</v>
      </c>
      <c r="J70" s="467">
        <v>0</v>
      </c>
      <c r="K70" s="64"/>
      <c r="L70" s="476">
        <v>1129868.76</v>
      </c>
      <c r="M70" s="486">
        <v>890.32062051623939</v>
      </c>
      <c r="N70" s="447">
        <v>215.70613972148539</v>
      </c>
    </row>
    <row r="71" spans="2:14" ht="14">
      <c r="B71" s="771"/>
      <c r="C71" s="641" t="s">
        <v>797</v>
      </c>
      <c r="D71" s="440" t="s">
        <v>395</v>
      </c>
      <c r="E71" s="442">
        <v>43951</v>
      </c>
      <c r="F71" s="442">
        <v>44671</v>
      </c>
      <c r="G71" s="443">
        <v>1.9726027397260273</v>
      </c>
      <c r="H71" s="473" t="s">
        <v>396</v>
      </c>
      <c r="I71" s="497" t="s">
        <v>392</v>
      </c>
      <c r="J71" s="467">
        <v>2.4989999999999998E-2</v>
      </c>
      <c r="K71" s="64"/>
      <c r="L71" s="476">
        <v>0</v>
      </c>
      <c r="M71" s="486">
        <v>0</v>
      </c>
      <c r="N71" s="447">
        <v>0</v>
      </c>
    </row>
    <row r="72" spans="2:14" ht="14">
      <c r="B72" s="772"/>
      <c r="C72" s="641" t="s">
        <v>1115</v>
      </c>
      <c r="D72" s="440" t="s">
        <v>395</v>
      </c>
      <c r="E72" s="442">
        <v>44641</v>
      </c>
      <c r="F72" s="442">
        <v>51850</v>
      </c>
      <c r="G72" s="443">
        <v>19.75068493150685</v>
      </c>
      <c r="H72" s="473" t="s">
        <v>792</v>
      </c>
      <c r="I72" s="497" t="s">
        <v>392</v>
      </c>
      <c r="J72" s="467">
        <v>2.01E-2</v>
      </c>
      <c r="K72" s="64"/>
      <c r="L72" s="476">
        <v>238936123.55097795</v>
      </c>
      <c r="M72" s="486">
        <v>188278.28975787549</v>
      </c>
      <c r="N72" s="447">
        <v>45615.907506989868</v>
      </c>
    </row>
    <row r="73" spans="2:14" ht="14.5">
      <c r="B73" s="46"/>
      <c r="C73" s="456"/>
      <c r="D73" s="503"/>
      <c r="E73" s="458"/>
      <c r="F73" s="458"/>
      <c r="G73" s="457"/>
      <c r="H73" s="478"/>
      <c r="I73" s="478"/>
      <c r="J73" s="479"/>
      <c r="K73" s="64"/>
      <c r="L73" s="511"/>
      <c r="M73" s="452">
        <v>455086.44440604124</v>
      </c>
      <c r="N73" s="453">
        <v>110257.96538946162</v>
      </c>
    </row>
    <row r="74" spans="2:14" ht="14.5">
      <c r="B74" s="46"/>
      <c r="C74" s="456"/>
      <c r="D74" s="503"/>
      <c r="E74" s="458"/>
      <c r="F74" s="458"/>
      <c r="G74" s="457"/>
      <c r="H74" s="478"/>
      <c r="I74" s="478"/>
      <c r="J74" s="479"/>
      <c r="K74" s="69"/>
      <c r="L74" s="511"/>
      <c r="M74" s="438"/>
      <c r="N74" s="438"/>
    </row>
    <row r="75" spans="2:14" ht="14.5">
      <c r="B75" s="46"/>
      <c r="C75" s="456"/>
      <c r="D75" s="503"/>
      <c r="E75" s="458"/>
      <c r="F75" s="458"/>
      <c r="G75" s="457"/>
      <c r="H75" s="478"/>
      <c r="I75" s="478"/>
      <c r="J75" s="479"/>
      <c r="K75" s="64"/>
      <c r="L75" s="511"/>
      <c r="M75" s="438"/>
      <c r="N75" s="438"/>
    </row>
    <row r="76" spans="2:14" ht="14">
      <c r="B76" s="677"/>
      <c r="C76" s="440" t="s">
        <v>798</v>
      </c>
      <c r="D76" s="440" t="s">
        <v>395</v>
      </c>
      <c r="E76" s="471">
        <v>40571</v>
      </c>
      <c r="F76" s="471">
        <v>46157</v>
      </c>
      <c r="G76" s="443">
        <v>15.304109589041095</v>
      </c>
      <c r="H76" s="444" t="s">
        <v>792</v>
      </c>
      <c r="I76" s="445" t="s">
        <v>392</v>
      </c>
      <c r="J76" s="446">
        <v>2.6200000000000001E-2</v>
      </c>
      <c r="K76" s="64"/>
      <c r="L76" s="476">
        <v>13962030.49</v>
      </c>
      <c r="M76" s="486">
        <v>11001.882777121084</v>
      </c>
      <c r="N76" s="447">
        <v>2665.5270122184011</v>
      </c>
    </row>
    <row r="77" spans="2:14" ht="14">
      <c r="B77" s="678" t="s">
        <v>908</v>
      </c>
      <c r="C77" s="440" t="s">
        <v>799</v>
      </c>
      <c r="D77" s="440" t="s">
        <v>395</v>
      </c>
      <c r="E77" s="471">
        <v>41529</v>
      </c>
      <c r="F77" s="471">
        <v>45033</v>
      </c>
      <c r="G77" s="443">
        <v>9.6</v>
      </c>
      <c r="H77" s="444" t="s">
        <v>784</v>
      </c>
      <c r="I77" s="445"/>
      <c r="J77" s="446">
        <v>3.5000000000000003E-2</v>
      </c>
      <c r="K77" s="64"/>
      <c r="L77" s="476">
        <v>1507046.12</v>
      </c>
      <c r="M77" s="486">
        <v>1187.5310517213429</v>
      </c>
      <c r="N77" s="447">
        <v>287.71403589156137</v>
      </c>
    </row>
    <row r="78" spans="2:14" ht="14">
      <c r="B78" s="679"/>
      <c r="C78" s="440" t="s">
        <v>798</v>
      </c>
      <c r="D78" s="440" t="s">
        <v>395</v>
      </c>
      <c r="E78" s="471">
        <v>41529</v>
      </c>
      <c r="F78" s="471">
        <v>46798</v>
      </c>
      <c r="G78" s="443">
        <v>14.435616438356165</v>
      </c>
      <c r="H78" s="444" t="s">
        <v>792</v>
      </c>
      <c r="I78" s="445" t="s">
        <v>392</v>
      </c>
      <c r="J78" s="446">
        <v>2.06E-2</v>
      </c>
      <c r="K78" s="64"/>
      <c r="L78" s="476">
        <v>3106883.74</v>
      </c>
      <c r="M78" s="486">
        <v>2448.1804945280237</v>
      </c>
      <c r="N78" s="447">
        <v>593.14313478426811</v>
      </c>
    </row>
    <row r="79" spans="2:14" ht="14.5">
      <c r="B79" s="46"/>
      <c r="C79" s="456"/>
      <c r="D79" s="456"/>
      <c r="E79" s="458"/>
      <c r="F79" s="458"/>
      <c r="G79" s="460"/>
      <c r="H79" s="478"/>
      <c r="I79" s="478"/>
      <c r="J79" s="479"/>
      <c r="K79" s="69"/>
      <c r="L79" s="511"/>
      <c r="M79" s="452">
        <v>14637.594323370449</v>
      </c>
      <c r="N79" s="453">
        <v>3546.3841828942304</v>
      </c>
    </row>
    <row r="80" spans="2:14" ht="14.5">
      <c r="B80" s="46"/>
      <c r="C80" s="456"/>
      <c r="D80" s="456"/>
      <c r="E80" s="458"/>
      <c r="F80" s="458"/>
      <c r="G80" s="460"/>
      <c r="H80" s="478"/>
      <c r="I80" s="478"/>
      <c r="J80" s="479"/>
      <c r="K80" s="64"/>
      <c r="L80" s="511"/>
      <c r="M80" s="438"/>
      <c r="N80" s="438"/>
    </row>
    <row r="81" spans="2:14" ht="14">
      <c r="B81" s="773" t="s">
        <v>382</v>
      </c>
      <c r="C81" s="440" t="s">
        <v>798</v>
      </c>
      <c r="D81" s="440" t="s">
        <v>395</v>
      </c>
      <c r="E81" s="471">
        <v>40865</v>
      </c>
      <c r="F81" s="471">
        <v>46157</v>
      </c>
      <c r="G81" s="443">
        <v>14.498630136986302</v>
      </c>
      <c r="H81" s="444" t="s">
        <v>792</v>
      </c>
      <c r="I81" s="445" t="s">
        <v>392</v>
      </c>
      <c r="J81" s="737">
        <v>1.95E-2</v>
      </c>
      <c r="K81" s="69"/>
      <c r="L81" s="476">
        <v>15122899.359999999</v>
      </c>
      <c r="M81" s="476">
        <v>11916.631046471808</v>
      </c>
      <c r="N81" s="476">
        <v>2887.1514623902312</v>
      </c>
    </row>
    <row r="82" spans="2:14" ht="14">
      <c r="B82" s="774"/>
      <c r="C82" s="440" t="s">
        <v>798</v>
      </c>
      <c r="D82" s="440" t="s">
        <v>395</v>
      </c>
      <c r="E82" s="471">
        <v>40865</v>
      </c>
      <c r="F82" s="471">
        <v>46157</v>
      </c>
      <c r="G82" s="443">
        <v>14.498630136986302</v>
      </c>
      <c r="H82" s="444" t="s">
        <v>792</v>
      </c>
      <c r="I82" s="445" t="s">
        <v>392</v>
      </c>
      <c r="J82" s="737">
        <v>1.55E-2</v>
      </c>
      <c r="K82" s="64"/>
      <c r="L82" s="476">
        <v>13070407.220000001</v>
      </c>
      <c r="M82" s="476">
        <v>10299.29623679525</v>
      </c>
      <c r="N82" s="476">
        <v>2495.3049293623571</v>
      </c>
    </row>
    <row r="83" spans="2:14" ht="14">
      <c r="B83" s="455"/>
      <c r="C83" s="456"/>
      <c r="D83" s="456"/>
      <c r="E83" s="458"/>
      <c r="F83" s="458"/>
      <c r="G83" s="460"/>
      <c r="H83" s="478"/>
      <c r="I83" s="478"/>
      <c r="J83" s="479"/>
      <c r="K83" s="69"/>
      <c r="L83" s="511"/>
      <c r="M83" s="452">
        <v>22215.927283267058</v>
      </c>
      <c r="N83" s="453">
        <v>5382.4563917525884</v>
      </c>
    </row>
    <row r="84" spans="2:14" ht="14.5">
      <c r="B84" s="46"/>
      <c r="C84" s="456"/>
      <c r="D84" s="456"/>
      <c r="E84" s="458"/>
      <c r="F84" s="458"/>
      <c r="G84" s="460"/>
      <c r="H84" s="478"/>
      <c r="I84" s="478"/>
      <c r="J84" s="479"/>
      <c r="K84" s="64"/>
      <c r="L84" s="511"/>
      <c r="M84" s="438"/>
      <c r="N84" s="438"/>
    </row>
    <row r="85" spans="2:14" ht="14">
      <c r="B85" s="493" t="s">
        <v>383</v>
      </c>
      <c r="C85" s="440" t="s">
        <v>800</v>
      </c>
      <c r="D85" s="440" t="s">
        <v>395</v>
      </c>
      <c r="E85" s="442">
        <v>40317</v>
      </c>
      <c r="F85" s="442">
        <v>47622</v>
      </c>
      <c r="G85" s="443">
        <v>20.013698630136986</v>
      </c>
      <c r="H85" s="473" t="s">
        <v>784</v>
      </c>
      <c r="I85" s="497">
        <v>0</v>
      </c>
      <c r="J85" s="467">
        <v>8.5000000000000006E-2</v>
      </c>
      <c r="K85" s="69"/>
      <c r="L85" s="476">
        <v>128399139.48</v>
      </c>
      <c r="M85" s="486">
        <v>101176.70794759748</v>
      </c>
      <c r="N85" s="447">
        <v>24513.008682703319</v>
      </c>
    </row>
    <row r="86" spans="2:14" ht="14.5">
      <c r="B86" s="46"/>
      <c r="C86" s="456"/>
      <c r="D86" s="503"/>
      <c r="E86" s="458"/>
      <c r="F86" s="458"/>
      <c r="G86" s="457"/>
      <c r="H86" s="478"/>
      <c r="I86" s="478"/>
      <c r="J86" s="479"/>
      <c r="K86" s="64"/>
      <c r="L86" s="511"/>
      <c r="M86" s="452">
        <v>101176.70794759748</v>
      </c>
      <c r="N86" s="453">
        <v>24513.008682703319</v>
      </c>
    </row>
    <row r="87" spans="2:14" ht="14.5">
      <c r="B87" s="46"/>
      <c r="C87" s="456"/>
      <c r="D87" s="456"/>
      <c r="E87" s="458"/>
      <c r="F87" s="458"/>
      <c r="G87" s="460"/>
      <c r="H87" s="478"/>
      <c r="I87" s="478"/>
      <c r="J87" s="479"/>
      <c r="K87" s="69"/>
      <c r="L87" s="511"/>
      <c r="M87" s="438"/>
      <c r="N87" s="438"/>
    </row>
    <row r="88" spans="2:14" ht="14">
      <c r="B88" s="775" t="s">
        <v>1227</v>
      </c>
      <c r="C88" s="620" t="s">
        <v>801</v>
      </c>
      <c r="D88" s="528" t="s">
        <v>395</v>
      </c>
      <c r="E88" s="529">
        <v>43056</v>
      </c>
      <c r="F88" s="529">
        <v>44914</v>
      </c>
      <c r="G88" s="443">
        <v>5.0904109589041093</v>
      </c>
      <c r="H88" s="530" t="s">
        <v>396</v>
      </c>
      <c r="I88" s="531"/>
      <c r="J88" s="532">
        <v>2.3E-2</v>
      </c>
      <c r="K88" s="64"/>
      <c r="L88" s="447">
        <v>5419023.1000000257</v>
      </c>
      <c r="M88" s="486">
        <v>4270.1136577801371</v>
      </c>
      <c r="N88" s="447">
        <v>1034.5595868122934</v>
      </c>
    </row>
    <row r="89" spans="2:14" ht="14">
      <c r="B89" s="776"/>
      <c r="C89" s="620" t="s">
        <v>802</v>
      </c>
      <c r="D89" s="528" t="s">
        <v>395</v>
      </c>
      <c r="E89" s="529">
        <v>43103</v>
      </c>
      <c r="F89" s="529">
        <v>44991</v>
      </c>
      <c r="G89" s="443">
        <v>5.1726027397260275</v>
      </c>
      <c r="H89" s="530" t="s">
        <v>396</v>
      </c>
      <c r="I89" s="531"/>
      <c r="J89" s="532">
        <v>3.9079999999999997E-2</v>
      </c>
      <c r="K89" s="69"/>
      <c r="L89" s="447">
        <v>3352812.1562162153</v>
      </c>
      <c r="M89" s="486">
        <v>2641.9686198108402</v>
      </c>
      <c r="N89" s="447">
        <v>640.0939606613349</v>
      </c>
    </row>
    <row r="90" spans="2:14" ht="14">
      <c r="B90" s="776"/>
      <c r="C90" s="620" t="s">
        <v>802</v>
      </c>
      <c r="D90" s="528" t="s">
        <v>395</v>
      </c>
      <c r="E90" s="529">
        <v>43276</v>
      </c>
      <c r="F90" s="529">
        <v>44991</v>
      </c>
      <c r="G90" s="443">
        <v>4.6986301369863011</v>
      </c>
      <c r="H90" s="530" t="s">
        <v>396</v>
      </c>
      <c r="I90" s="531"/>
      <c r="J90" s="532">
        <v>3.4119999999999998E-2</v>
      </c>
      <c r="K90" s="64"/>
      <c r="L90" s="447">
        <v>6735966.7099999972</v>
      </c>
      <c r="M90" s="486">
        <v>5307.8466203111748</v>
      </c>
      <c r="N90" s="447">
        <v>1285.9806661977373</v>
      </c>
    </row>
    <row r="91" spans="2:14" ht="14">
      <c r="B91" s="776"/>
      <c r="C91" s="620" t="s">
        <v>801</v>
      </c>
      <c r="D91" s="528" t="s">
        <v>395</v>
      </c>
      <c r="E91" s="529">
        <v>43595</v>
      </c>
      <c r="F91" s="529">
        <v>45422</v>
      </c>
      <c r="G91" s="443">
        <v>5.0054794520547947</v>
      </c>
      <c r="H91" s="530" t="s">
        <v>396</v>
      </c>
      <c r="I91" s="531"/>
      <c r="J91" s="532">
        <v>2.5000000000000001E-2</v>
      </c>
      <c r="K91" s="64"/>
      <c r="L91" s="447">
        <v>9583333.4199999981</v>
      </c>
      <c r="M91" s="486">
        <v>7551.5313680435538</v>
      </c>
      <c r="N91" s="447">
        <v>1829.5787414671829</v>
      </c>
    </row>
    <row r="92" spans="2:14" ht="14">
      <c r="B92" s="776"/>
      <c r="C92" s="621" t="s">
        <v>1116</v>
      </c>
      <c r="D92" s="469" t="s">
        <v>395</v>
      </c>
      <c r="E92" s="529">
        <v>43896</v>
      </c>
      <c r="F92" s="529">
        <v>45516</v>
      </c>
      <c r="G92" s="472">
        <v>4.4383561643835616</v>
      </c>
      <c r="H92" s="473" t="s">
        <v>396</v>
      </c>
      <c r="I92" s="509"/>
      <c r="J92" s="475">
        <v>3.2800000000000003E-2</v>
      </c>
      <c r="K92" s="69"/>
      <c r="L92" s="447">
        <v>31150525.609999999</v>
      </c>
      <c r="M92" s="486">
        <v>24546.174171925988</v>
      </c>
      <c r="N92" s="447">
        <v>5947.0266705575059</v>
      </c>
    </row>
    <row r="93" spans="2:14" ht="14">
      <c r="B93" s="776"/>
      <c r="C93" s="621" t="s">
        <v>720</v>
      </c>
      <c r="D93" s="469" t="s">
        <v>395</v>
      </c>
      <c r="E93" s="529">
        <v>43924</v>
      </c>
      <c r="F93" s="529">
        <v>44921</v>
      </c>
      <c r="G93" s="472">
        <v>2.7315068493150685</v>
      </c>
      <c r="H93" s="473" t="s">
        <v>396</v>
      </c>
      <c r="I93" s="509"/>
      <c r="J93" s="475">
        <v>4.2799999999999998E-2</v>
      </c>
      <c r="K93" s="69"/>
      <c r="L93" s="447">
        <v>30000000</v>
      </c>
      <c r="M93" s="486">
        <v>23639.576242700179</v>
      </c>
      <c r="N93" s="447">
        <v>5727.3768780149048</v>
      </c>
    </row>
    <row r="94" spans="2:14" ht="14">
      <c r="B94" s="776"/>
      <c r="C94" s="621" t="s">
        <v>802</v>
      </c>
      <c r="D94" s="469" t="s">
        <v>395</v>
      </c>
      <c r="E94" s="529">
        <v>44158</v>
      </c>
      <c r="F94" s="529">
        <v>45253</v>
      </c>
      <c r="G94" s="472">
        <v>3</v>
      </c>
      <c r="H94" s="473" t="s">
        <v>396</v>
      </c>
      <c r="I94" s="509"/>
      <c r="J94" s="475">
        <v>3.9E-2</v>
      </c>
      <c r="K94" s="69"/>
      <c r="L94" s="447">
        <v>4080000</v>
      </c>
      <c r="M94" s="486">
        <v>3214.982369007224</v>
      </c>
      <c r="N94" s="447">
        <v>778.92325541002697</v>
      </c>
    </row>
    <row r="95" spans="2:14" ht="14">
      <c r="B95" s="776"/>
      <c r="C95" s="621" t="s">
        <v>1065</v>
      </c>
      <c r="D95" s="469" t="s">
        <v>395</v>
      </c>
      <c r="E95" s="529">
        <v>44161</v>
      </c>
      <c r="F95" s="529">
        <v>45257</v>
      </c>
      <c r="G95" s="472">
        <v>3.0027397260273974</v>
      </c>
      <c r="H95" s="473" t="s">
        <v>396</v>
      </c>
      <c r="I95" s="509"/>
      <c r="J95" s="475">
        <v>3.1E-2</v>
      </c>
      <c r="K95" s="533"/>
      <c r="L95" s="447">
        <v>7799990</v>
      </c>
      <c r="M95" s="486">
        <v>6146.2819432432998</v>
      </c>
      <c r="N95" s="447">
        <v>1489.1160791582495</v>
      </c>
    </row>
    <row r="96" spans="2:14" ht="14">
      <c r="B96" s="776"/>
      <c r="C96" s="621" t="s">
        <v>720</v>
      </c>
      <c r="D96" s="469" t="s">
        <v>395</v>
      </c>
      <c r="E96" s="529">
        <v>44266</v>
      </c>
      <c r="F96" s="529">
        <v>44987</v>
      </c>
      <c r="G96" s="472">
        <v>1.9753424657534246</v>
      </c>
      <c r="H96" s="473" t="s">
        <v>396</v>
      </c>
      <c r="I96" s="509"/>
      <c r="J96" s="475">
        <v>4.9001246830012279E-2</v>
      </c>
      <c r="K96" s="64"/>
      <c r="L96" s="447">
        <v>20000000</v>
      </c>
      <c r="M96" s="486">
        <v>15759.717495133455</v>
      </c>
      <c r="N96" s="447">
        <v>3818.2512520099367</v>
      </c>
    </row>
    <row r="97" spans="2:14" ht="14">
      <c r="B97" s="776"/>
      <c r="C97" s="621" t="s">
        <v>801</v>
      </c>
      <c r="D97" s="469" t="s">
        <v>395</v>
      </c>
      <c r="E97" s="529">
        <v>44426</v>
      </c>
      <c r="F97" s="529">
        <v>44852</v>
      </c>
      <c r="G97" s="472">
        <v>1.167123287671233</v>
      </c>
      <c r="H97" s="473" t="s">
        <v>396</v>
      </c>
      <c r="I97" s="509"/>
      <c r="J97" s="475">
        <v>6.0400000000000002E-2</v>
      </c>
      <c r="K97" s="64"/>
      <c r="L97" s="447">
        <v>4000000</v>
      </c>
      <c r="M97" s="486">
        <v>3151.9434990266909</v>
      </c>
      <c r="N97" s="447">
        <v>763.65025040198725</v>
      </c>
    </row>
    <row r="98" spans="2:14" ht="14">
      <c r="B98" s="777"/>
      <c r="C98" s="621" t="s">
        <v>1228</v>
      </c>
      <c r="D98" s="469" t="s">
        <v>395</v>
      </c>
      <c r="E98" s="529">
        <v>44713</v>
      </c>
      <c r="F98" s="529">
        <v>45800</v>
      </c>
      <c r="G98" s="472">
        <v>2.978082191780822</v>
      </c>
      <c r="H98" s="473" t="s">
        <v>784</v>
      </c>
      <c r="I98" s="509"/>
      <c r="J98" s="475" t="s">
        <v>1229</v>
      </c>
      <c r="K98" s="64"/>
      <c r="L98" s="447">
        <v>6707022</v>
      </c>
      <c r="M98" s="486">
        <v>5285.0385976822481</v>
      </c>
      <c r="N98" s="447">
        <v>1280.4547574379092</v>
      </c>
    </row>
    <row r="99" spans="2:14" ht="14">
      <c r="B99" s="455"/>
      <c r="C99" s="524"/>
      <c r="D99" s="524"/>
      <c r="E99" s="459"/>
      <c r="F99" s="459"/>
      <c r="G99" s="525"/>
      <c r="H99" s="461"/>
      <c r="I99" s="526"/>
      <c r="J99" s="502"/>
      <c r="K99" s="64"/>
      <c r="L99" s="527"/>
      <c r="M99" s="452">
        <v>101515.17458466478</v>
      </c>
      <c r="N99" s="453">
        <v>24595.012098129071</v>
      </c>
    </row>
    <row r="100" spans="2:14" ht="14">
      <c r="B100" s="455"/>
      <c r="C100" s="456"/>
      <c r="D100" s="456"/>
      <c r="E100" s="458"/>
      <c r="F100" s="458"/>
      <c r="G100" s="460"/>
      <c r="H100" s="478"/>
      <c r="I100" s="478"/>
      <c r="J100" s="479"/>
      <c r="K100" s="64"/>
      <c r="L100" s="511"/>
      <c r="M100" s="534"/>
      <c r="N100" s="535"/>
    </row>
    <row r="101" spans="2:14" ht="14.5" thickBot="1">
      <c r="B101" s="433" t="s">
        <v>384</v>
      </c>
      <c r="C101" s="433"/>
      <c r="D101" s="433"/>
      <c r="E101" s="433"/>
      <c r="F101" s="433"/>
      <c r="G101" s="433"/>
      <c r="H101" s="433"/>
      <c r="I101" s="734"/>
      <c r="J101" s="434"/>
      <c r="K101" s="69"/>
      <c r="L101" s="434"/>
      <c r="M101" s="435">
        <v>1166145.6808362626</v>
      </c>
      <c r="N101" s="738">
        <v>282532.80601343256</v>
      </c>
    </row>
    <row r="102" spans="2:14" ht="14.5" thickTop="1">
      <c r="B102" s="468"/>
      <c r="C102" s="432"/>
      <c r="D102" s="508"/>
      <c r="E102" s="432"/>
      <c r="F102" s="432"/>
      <c r="G102" s="432"/>
      <c r="H102" s="432"/>
      <c r="I102" s="432"/>
      <c r="J102" s="482"/>
      <c r="K102" s="64"/>
      <c r="L102" s="482"/>
      <c r="M102" s="438"/>
      <c r="N102" s="438"/>
    </row>
    <row r="103" spans="2:14" ht="14">
      <c r="B103" s="783" t="s">
        <v>385</v>
      </c>
      <c r="C103" s="440" t="s">
        <v>779</v>
      </c>
      <c r="D103" s="440" t="s">
        <v>803</v>
      </c>
      <c r="E103" s="442">
        <v>42032</v>
      </c>
      <c r="F103" s="442">
        <v>44770</v>
      </c>
      <c r="G103" s="443">
        <v>7.5013698630136982</v>
      </c>
      <c r="H103" s="444" t="s">
        <v>804</v>
      </c>
      <c r="I103" s="497" t="s">
        <v>392</v>
      </c>
      <c r="J103" s="446">
        <v>1.4E-2</v>
      </c>
      <c r="K103" s="69"/>
      <c r="L103" s="476">
        <v>1336260361.618</v>
      </c>
      <c r="M103" s="486">
        <v>5917.2750028687051</v>
      </c>
      <c r="N103" s="447">
        <v>1433.6324680418525</v>
      </c>
    </row>
    <row r="104" spans="2:14" ht="14">
      <c r="B104" s="784"/>
      <c r="C104" s="440" t="s">
        <v>721</v>
      </c>
      <c r="D104" s="440" t="s">
        <v>803</v>
      </c>
      <c r="E104" s="442">
        <v>42802</v>
      </c>
      <c r="F104" s="442">
        <v>44624</v>
      </c>
      <c r="G104" s="443">
        <v>4.9917808219178079</v>
      </c>
      <c r="H104" s="444" t="s">
        <v>804</v>
      </c>
      <c r="I104" s="497" t="s">
        <v>392</v>
      </c>
      <c r="J104" s="446">
        <v>1.4999999999999999E-2</v>
      </c>
      <c r="K104" s="64"/>
      <c r="L104" s="476">
        <v>0</v>
      </c>
      <c r="M104" s="486">
        <v>0</v>
      </c>
      <c r="N104" s="447">
        <v>0</v>
      </c>
    </row>
    <row r="105" spans="2:14" ht="14">
      <c r="B105" s="784"/>
      <c r="C105" s="440" t="s">
        <v>721</v>
      </c>
      <c r="D105" s="440" t="s">
        <v>803</v>
      </c>
      <c r="E105" s="442">
        <v>43976</v>
      </c>
      <c r="F105" s="442">
        <v>45407</v>
      </c>
      <c r="G105" s="443">
        <v>3.9205479452054797</v>
      </c>
      <c r="H105" s="444" t="s">
        <v>784</v>
      </c>
      <c r="I105" s="497"/>
      <c r="J105" s="446">
        <v>3.5000000000000003E-2</v>
      </c>
      <c r="K105" s="69"/>
      <c r="L105" s="476">
        <v>372228064.27739322</v>
      </c>
      <c r="M105" s="486">
        <v>1648.3133701937049</v>
      </c>
      <c r="N105" s="447">
        <v>399.35199291423191</v>
      </c>
    </row>
    <row r="106" spans="2:14" ht="14.5">
      <c r="B106" s="784"/>
      <c r="C106" s="440" t="s">
        <v>721</v>
      </c>
      <c r="D106" s="440" t="s">
        <v>803</v>
      </c>
      <c r="E106" s="442">
        <v>43976</v>
      </c>
      <c r="F106" s="442">
        <v>45407</v>
      </c>
      <c r="G106" s="443">
        <v>3.9205479452054797</v>
      </c>
      <c r="H106" s="444" t="s">
        <v>784</v>
      </c>
      <c r="I106" s="497"/>
      <c r="J106" s="446">
        <v>3.225E-3</v>
      </c>
      <c r="K106" s="46"/>
      <c r="L106" s="476">
        <v>0</v>
      </c>
      <c r="M106" s="486">
        <v>0</v>
      </c>
      <c r="N106" s="447">
        <v>0</v>
      </c>
    </row>
    <row r="107" spans="2:14" ht="14.5">
      <c r="B107" s="784"/>
      <c r="C107" s="440" t="s">
        <v>721</v>
      </c>
      <c r="D107" s="440" t="s">
        <v>803</v>
      </c>
      <c r="E107" s="442">
        <v>44259</v>
      </c>
      <c r="F107" s="442">
        <v>46083</v>
      </c>
      <c r="G107" s="443">
        <v>4.9972602739726026</v>
      </c>
      <c r="H107" s="444" t="s">
        <v>784</v>
      </c>
      <c r="I107" s="497"/>
      <c r="J107" s="446">
        <v>4.8599999999999997E-2</v>
      </c>
      <c r="K107" s="46"/>
      <c r="L107" s="476">
        <v>1841987635</v>
      </c>
      <c r="M107" s="486">
        <v>8156.7542533261376</v>
      </c>
      <c r="N107" s="447">
        <v>1976.2116389279965</v>
      </c>
    </row>
    <row r="108" spans="2:14" ht="14">
      <c r="B108" s="785"/>
      <c r="C108" s="440" t="s">
        <v>779</v>
      </c>
      <c r="D108" s="440" t="s">
        <v>394</v>
      </c>
      <c r="E108" s="442">
        <v>44741</v>
      </c>
      <c r="F108" s="442">
        <v>45644</v>
      </c>
      <c r="G108" s="443">
        <v>2.473972602739726</v>
      </c>
      <c r="H108" s="444" t="s">
        <v>784</v>
      </c>
      <c r="I108" s="497"/>
      <c r="J108" s="446">
        <v>5.8799999999999998E-2</v>
      </c>
      <c r="K108" s="64"/>
      <c r="L108" s="476">
        <v>1973981</v>
      </c>
      <c r="M108" s="486">
        <v>8147.5460727305162</v>
      </c>
      <c r="N108" s="447">
        <v>1973.9806885890184</v>
      </c>
    </row>
    <row r="109" spans="2:14" ht="14.5">
      <c r="B109" s="46"/>
      <c r="C109" s="456"/>
      <c r="D109" s="503"/>
      <c r="E109" s="458"/>
      <c r="F109" s="458"/>
      <c r="G109" s="457"/>
      <c r="H109" s="506"/>
      <c r="I109" s="506"/>
      <c r="J109" s="479"/>
      <c r="K109" s="69"/>
      <c r="L109" s="511"/>
      <c r="M109" s="452">
        <v>23869.888699119067</v>
      </c>
      <c r="N109" s="453">
        <v>5783.1767884730998</v>
      </c>
    </row>
    <row r="110" spans="2:14" ht="14.5">
      <c r="B110" s="46"/>
      <c r="C110" s="456"/>
      <c r="D110" s="503"/>
      <c r="E110" s="458"/>
      <c r="F110" s="458"/>
      <c r="G110" s="457"/>
      <c r="H110" s="506"/>
      <c r="I110" s="506"/>
      <c r="J110" s="479"/>
      <c r="K110" s="64"/>
      <c r="L110" s="511"/>
      <c r="M110" s="438"/>
      <c r="N110" s="439"/>
    </row>
    <row r="111" spans="2:14" ht="14">
      <c r="B111" s="773" t="s">
        <v>773</v>
      </c>
      <c r="C111" s="440" t="s">
        <v>805</v>
      </c>
      <c r="D111" s="440" t="s">
        <v>398</v>
      </c>
      <c r="E111" s="442">
        <v>42809</v>
      </c>
      <c r="F111" s="442">
        <v>45366</v>
      </c>
      <c r="G111" s="443">
        <v>7.0054794520547947</v>
      </c>
      <c r="H111" s="444" t="s">
        <v>784</v>
      </c>
      <c r="I111" s="497" t="s">
        <v>392</v>
      </c>
      <c r="J111" s="467">
        <v>1.15E-2</v>
      </c>
      <c r="K111" s="64"/>
      <c r="L111" s="476">
        <v>0</v>
      </c>
      <c r="M111" s="486">
        <v>0</v>
      </c>
      <c r="N111" s="447">
        <v>0</v>
      </c>
    </row>
    <row r="112" spans="2:14" ht="14">
      <c r="B112" s="786"/>
      <c r="C112" s="440" t="s">
        <v>807</v>
      </c>
      <c r="D112" s="440" t="s">
        <v>398</v>
      </c>
      <c r="E112" s="442">
        <v>41167</v>
      </c>
      <c r="F112" s="442">
        <v>45184</v>
      </c>
      <c r="G112" s="443">
        <v>11.005479452054795</v>
      </c>
      <c r="H112" s="444" t="s">
        <v>784</v>
      </c>
      <c r="I112" s="497" t="s">
        <v>392</v>
      </c>
      <c r="J112" s="467">
        <v>0.01</v>
      </c>
      <c r="K112" s="69"/>
      <c r="L112" s="476">
        <v>258093.82</v>
      </c>
      <c r="M112" s="486">
        <v>37814.964516433989</v>
      </c>
      <c r="N112" s="447">
        <v>9161.7781634836792</v>
      </c>
    </row>
    <row r="113" spans="2:14" ht="14">
      <c r="B113" s="786"/>
      <c r="C113" s="440" t="s">
        <v>808</v>
      </c>
      <c r="D113" s="440" t="s">
        <v>803</v>
      </c>
      <c r="E113" s="442">
        <v>43376</v>
      </c>
      <c r="F113" s="442">
        <v>45731</v>
      </c>
      <c r="G113" s="443">
        <v>6.4520547945205475</v>
      </c>
      <c r="H113" s="473" t="s">
        <v>809</v>
      </c>
      <c r="I113" s="497" t="s">
        <v>392</v>
      </c>
      <c r="J113" s="467">
        <v>1.3299999999999999E-2</v>
      </c>
      <c r="K113" s="64"/>
      <c r="L113" s="476">
        <v>11318191883</v>
      </c>
      <c r="M113" s="486">
        <v>50119.644752853659</v>
      </c>
      <c r="N113" s="447">
        <v>12142.945860988368</v>
      </c>
    </row>
    <row r="114" spans="2:14" ht="14">
      <c r="B114" s="786"/>
      <c r="C114" s="440" t="s">
        <v>810</v>
      </c>
      <c r="D114" s="440" t="s">
        <v>398</v>
      </c>
      <c r="E114" s="442">
        <v>40617</v>
      </c>
      <c r="F114" s="442">
        <v>45366</v>
      </c>
      <c r="G114" s="443">
        <v>13.010958904109589</v>
      </c>
      <c r="H114" s="444" t="s">
        <v>784</v>
      </c>
      <c r="I114" s="497" t="s">
        <v>392</v>
      </c>
      <c r="J114" s="467">
        <v>1.15E-2</v>
      </c>
      <c r="K114" s="64"/>
      <c r="L114" s="476">
        <v>0</v>
      </c>
      <c r="M114" s="486">
        <v>0</v>
      </c>
      <c r="N114" s="447">
        <v>0</v>
      </c>
    </row>
    <row r="115" spans="2:14" ht="14">
      <c r="B115" s="786"/>
      <c r="C115" s="440" t="s">
        <v>811</v>
      </c>
      <c r="D115" s="440" t="s">
        <v>398</v>
      </c>
      <c r="E115" s="442">
        <v>41167</v>
      </c>
      <c r="F115" s="442">
        <v>45184</v>
      </c>
      <c r="G115" s="443">
        <v>11.005479452054795</v>
      </c>
      <c r="H115" s="444" t="s">
        <v>784</v>
      </c>
      <c r="I115" s="497" t="s">
        <v>392</v>
      </c>
      <c r="J115" s="467">
        <v>0.01</v>
      </c>
      <c r="K115" s="69"/>
      <c r="L115" s="476">
        <v>101425.75</v>
      </c>
      <c r="M115" s="486">
        <v>14860.530706634912</v>
      </c>
      <c r="N115" s="447">
        <v>3600.3970244810771</v>
      </c>
    </row>
    <row r="116" spans="2:14" ht="14">
      <c r="B116" s="786"/>
      <c r="C116" s="440" t="s">
        <v>812</v>
      </c>
      <c r="D116" s="440" t="s">
        <v>803</v>
      </c>
      <c r="E116" s="442">
        <v>43376</v>
      </c>
      <c r="F116" s="442">
        <v>45731</v>
      </c>
      <c r="G116" s="443">
        <v>6.4520547945205475</v>
      </c>
      <c r="H116" s="473" t="s">
        <v>809</v>
      </c>
      <c r="I116" s="497" t="s">
        <v>392</v>
      </c>
      <c r="J116" s="467">
        <v>1.3299999999999999E-2</v>
      </c>
      <c r="K116" s="64"/>
      <c r="L116" s="476">
        <v>4658212641</v>
      </c>
      <c r="M116" s="486">
        <v>20627.673144580862</v>
      </c>
      <c r="N116" s="447">
        <v>4997.6554995144388</v>
      </c>
    </row>
    <row r="117" spans="2:14" ht="14">
      <c r="B117" s="786"/>
      <c r="C117" s="440" t="s">
        <v>813</v>
      </c>
      <c r="D117" s="440" t="s">
        <v>398</v>
      </c>
      <c r="E117" s="442">
        <v>40617</v>
      </c>
      <c r="F117" s="442">
        <v>44635</v>
      </c>
      <c r="G117" s="443">
        <v>11.008219178082191</v>
      </c>
      <c r="H117" s="444" t="s">
        <v>784</v>
      </c>
      <c r="I117" s="497" t="s">
        <v>392</v>
      </c>
      <c r="J117" s="467">
        <v>1.15E-2</v>
      </c>
      <c r="K117" s="64"/>
      <c r="L117" s="476">
        <v>0</v>
      </c>
      <c r="M117" s="486">
        <v>0</v>
      </c>
      <c r="N117" s="447">
        <v>0</v>
      </c>
    </row>
    <row r="118" spans="2:14" ht="14">
      <c r="B118" s="786"/>
      <c r="C118" s="440" t="s">
        <v>814</v>
      </c>
      <c r="D118" s="440" t="s">
        <v>398</v>
      </c>
      <c r="E118" s="442">
        <v>41167</v>
      </c>
      <c r="F118" s="442">
        <v>45184</v>
      </c>
      <c r="G118" s="443">
        <v>11.005479452054795</v>
      </c>
      <c r="H118" s="444" t="s">
        <v>784</v>
      </c>
      <c r="I118" s="497" t="s">
        <v>392</v>
      </c>
      <c r="J118" s="467">
        <v>0.01</v>
      </c>
      <c r="K118" s="69"/>
      <c r="L118" s="476">
        <v>146546.29999999999</v>
      </c>
      <c r="M118" s="486">
        <v>21471.429011801556</v>
      </c>
      <c r="N118" s="447">
        <v>5202.0799695216574</v>
      </c>
    </row>
    <row r="119" spans="2:14" ht="14">
      <c r="B119" s="786"/>
      <c r="C119" s="440" t="s">
        <v>815</v>
      </c>
      <c r="D119" s="440" t="s">
        <v>803</v>
      </c>
      <c r="E119" s="442">
        <v>43376</v>
      </c>
      <c r="F119" s="442">
        <v>45731</v>
      </c>
      <c r="G119" s="443">
        <v>6.4520547945205475</v>
      </c>
      <c r="H119" s="473" t="s">
        <v>809</v>
      </c>
      <c r="I119" s="497" t="s">
        <v>392</v>
      </c>
      <c r="J119" s="467">
        <v>1.3299999999999999E-2</v>
      </c>
      <c r="K119" s="64"/>
      <c r="L119" s="476">
        <v>6216128520</v>
      </c>
      <c r="M119" s="486">
        <v>27526.495078108048</v>
      </c>
      <c r="N119" s="447">
        <v>6669.0963418530109</v>
      </c>
    </row>
    <row r="120" spans="2:14" ht="14">
      <c r="B120" s="786"/>
      <c r="C120" s="440" t="s">
        <v>910</v>
      </c>
      <c r="D120" s="440" t="s">
        <v>803</v>
      </c>
      <c r="E120" s="442">
        <v>44336</v>
      </c>
      <c r="F120" s="442">
        <v>45366</v>
      </c>
      <c r="G120" s="443">
        <v>2.8219178082191783</v>
      </c>
      <c r="H120" s="473" t="s">
        <v>784</v>
      </c>
      <c r="I120" s="497"/>
      <c r="J120" s="467">
        <v>2.1499999999999998E-2</v>
      </c>
      <c r="K120" s="64"/>
      <c r="L120" s="476">
        <v>6750331472</v>
      </c>
      <c r="M120" s="486">
        <v>29892.07276551062</v>
      </c>
      <c r="N120" s="447">
        <v>7242.226537203328</v>
      </c>
    </row>
    <row r="121" spans="2:14" ht="14">
      <c r="B121" s="786"/>
      <c r="C121" s="440" t="s">
        <v>911</v>
      </c>
      <c r="D121" s="440" t="s">
        <v>803</v>
      </c>
      <c r="E121" s="442">
        <v>44336</v>
      </c>
      <c r="F121" s="442">
        <v>45366</v>
      </c>
      <c r="G121" s="443">
        <v>2.8219178082191783</v>
      </c>
      <c r="H121" s="473" t="s">
        <v>784</v>
      </c>
      <c r="I121" s="497"/>
      <c r="J121" s="467">
        <v>2.1499999999999998E-2</v>
      </c>
      <c r="K121" s="64"/>
      <c r="L121" s="476">
        <v>2778178448</v>
      </c>
      <c r="M121" s="486">
        <v>12302.434727488206</v>
      </c>
      <c r="N121" s="447">
        <v>2980.6236574676996</v>
      </c>
    </row>
    <row r="122" spans="2:14" ht="14">
      <c r="B122" s="774"/>
      <c r="C122" s="440" t="s">
        <v>822</v>
      </c>
      <c r="D122" s="440" t="s">
        <v>803</v>
      </c>
      <c r="E122" s="442">
        <v>44336</v>
      </c>
      <c r="F122" s="442">
        <v>45366</v>
      </c>
      <c r="G122" s="443">
        <v>2.8219178082191783</v>
      </c>
      <c r="H122" s="473" t="s">
        <v>784</v>
      </c>
      <c r="I122" s="497"/>
      <c r="J122" s="467">
        <v>2.1499999999999998E-2</v>
      </c>
      <c r="K122" s="64"/>
      <c r="L122" s="476">
        <v>3707375914</v>
      </c>
      <c r="M122" s="486">
        <v>16417.142039627153</v>
      </c>
      <c r="N122" s="447">
        <v>3977.5315240636883</v>
      </c>
    </row>
    <row r="123" spans="2:14" ht="14.5">
      <c r="B123" s="450"/>
      <c r="C123" s="456"/>
      <c r="D123" s="503"/>
      <c r="E123" s="458"/>
      <c r="F123" s="458"/>
      <c r="G123" s="457"/>
      <c r="H123" s="506"/>
      <c r="I123" s="506"/>
      <c r="J123" s="479"/>
      <c r="K123" s="69"/>
      <c r="L123" s="46"/>
      <c r="M123" s="452">
        <v>231032.38674303898</v>
      </c>
      <c r="N123" s="453">
        <v>55974.334578576949</v>
      </c>
    </row>
    <row r="124" spans="2:14" ht="14">
      <c r="B124" s="536"/>
      <c r="C124" s="456"/>
      <c r="D124" s="503"/>
      <c r="E124" s="458"/>
      <c r="F124" s="458"/>
      <c r="G124" s="457"/>
      <c r="H124" s="506"/>
      <c r="I124" s="506"/>
      <c r="J124" s="479"/>
      <c r="K124" s="64"/>
      <c r="L124" s="511"/>
      <c r="M124" s="537"/>
      <c r="N124" s="438"/>
    </row>
    <row r="125" spans="2:14" ht="14">
      <c r="B125" s="773" t="s">
        <v>386</v>
      </c>
      <c r="C125" s="440" t="s">
        <v>816</v>
      </c>
      <c r="D125" s="440" t="s">
        <v>398</v>
      </c>
      <c r="E125" s="739">
        <v>42634</v>
      </c>
      <c r="F125" s="739">
        <v>44788</v>
      </c>
      <c r="G125" s="443">
        <v>5.9013698630136986</v>
      </c>
      <c r="H125" s="444" t="s">
        <v>784</v>
      </c>
      <c r="I125" s="497"/>
      <c r="J125" s="467">
        <v>3.4000000000000002E-2</v>
      </c>
      <c r="K125" s="69"/>
      <c r="L125" s="476">
        <v>169382.18449999992</v>
      </c>
      <c r="M125" s="486">
        <v>24817.20779545929</v>
      </c>
      <c r="N125" s="447">
        <v>6012.6924715283913</v>
      </c>
    </row>
    <row r="126" spans="2:14" ht="14">
      <c r="B126" s="786"/>
      <c r="C126" s="440" t="s">
        <v>817</v>
      </c>
      <c r="D126" s="440" t="s">
        <v>398</v>
      </c>
      <c r="E126" s="739">
        <v>42634</v>
      </c>
      <c r="F126" s="739">
        <v>44788</v>
      </c>
      <c r="G126" s="443">
        <v>5.9013698630136986</v>
      </c>
      <c r="H126" s="444" t="s">
        <v>784</v>
      </c>
      <c r="I126" s="497"/>
      <c r="J126" s="467">
        <v>3.4000000000000002E-2</v>
      </c>
      <c r="K126" s="64"/>
      <c r="L126" s="476">
        <v>62438.878799999875</v>
      </c>
      <c r="M126" s="486">
        <v>9148.2975867222649</v>
      </c>
      <c r="N126" s="447">
        <v>2216.4419333689316</v>
      </c>
    </row>
    <row r="127" spans="2:14" ht="14">
      <c r="B127" s="786"/>
      <c r="C127" s="440" t="s">
        <v>816</v>
      </c>
      <c r="D127" s="440" t="s">
        <v>398</v>
      </c>
      <c r="E127" s="739">
        <v>43469</v>
      </c>
      <c r="F127" s="739">
        <v>44910</v>
      </c>
      <c r="G127" s="443">
        <v>3.9479452054794519</v>
      </c>
      <c r="H127" s="444" t="s">
        <v>784</v>
      </c>
      <c r="I127" s="497"/>
      <c r="J127" s="467">
        <v>3.15E-2</v>
      </c>
      <c r="K127" s="69"/>
      <c r="L127" s="476">
        <v>69196.62</v>
      </c>
      <c r="M127" s="486">
        <v>10138.415101639186</v>
      </c>
      <c r="N127" s="447">
        <v>2456.3267816941575</v>
      </c>
    </row>
    <row r="128" spans="2:14" ht="14">
      <c r="B128" s="786"/>
      <c r="C128" s="440" t="s">
        <v>818</v>
      </c>
      <c r="D128" s="440" t="s">
        <v>398</v>
      </c>
      <c r="E128" s="739">
        <v>43469</v>
      </c>
      <c r="F128" s="739">
        <v>44910</v>
      </c>
      <c r="G128" s="443">
        <v>3.9479452054794519</v>
      </c>
      <c r="H128" s="444" t="s">
        <v>784</v>
      </c>
      <c r="I128" s="497"/>
      <c r="J128" s="467">
        <v>3.15E-2</v>
      </c>
      <c r="K128" s="64"/>
      <c r="L128" s="476">
        <v>80803.37</v>
      </c>
      <c r="M128" s="486">
        <v>11838.990208934176</v>
      </c>
      <c r="N128" s="447">
        <v>2868.340704822609</v>
      </c>
    </row>
    <row r="129" spans="2:14" ht="14">
      <c r="B129" s="786"/>
      <c r="C129" s="440" t="s">
        <v>818</v>
      </c>
      <c r="D129" s="440" t="s">
        <v>398</v>
      </c>
      <c r="E129" s="739">
        <v>43539</v>
      </c>
      <c r="F129" s="739">
        <v>45641</v>
      </c>
      <c r="G129" s="443">
        <v>5.7589041095890412</v>
      </c>
      <c r="H129" s="444" t="s">
        <v>806</v>
      </c>
      <c r="I129" s="497" t="s">
        <v>909</v>
      </c>
      <c r="J129" s="467">
        <v>8.9999999999999993E-3</v>
      </c>
      <c r="K129" s="69"/>
      <c r="L129" s="476">
        <v>132901.99</v>
      </c>
      <c r="M129" s="486">
        <v>19472.273970230053</v>
      </c>
      <c r="N129" s="447">
        <v>4717.7263481576001</v>
      </c>
    </row>
    <row r="130" spans="2:14" ht="14">
      <c r="B130" s="774"/>
      <c r="C130" s="440" t="s">
        <v>816</v>
      </c>
      <c r="D130" s="440" t="s">
        <v>398</v>
      </c>
      <c r="E130" s="739">
        <v>43539</v>
      </c>
      <c r="F130" s="739">
        <v>45641</v>
      </c>
      <c r="G130" s="443">
        <v>5.7589041095890412</v>
      </c>
      <c r="H130" s="444" t="s">
        <v>806</v>
      </c>
      <c r="I130" s="497" t="s">
        <v>909</v>
      </c>
      <c r="J130" s="467">
        <v>8.9999999999999993E-3</v>
      </c>
      <c r="K130" s="64"/>
      <c r="L130" s="476">
        <v>113811.92</v>
      </c>
      <c r="M130" s="486">
        <v>16675.272411781832</v>
      </c>
      <c r="N130" s="447">
        <v>4040.0711360183914</v>
      </c>
    </row>
    <row r="131" spans="2:14" ht="14.5">
      <c r="B131" s="46"/>
      <c r="C131" s="46"/>
      <c r="D131" s="46"/>
      <c r="E131" s="46"/>
      <c r="F131" s="46"/>
      <c r="G131" s="46"/>
      <c r="H131" s="496"/>
      <c r="I131" s="496"/>
      <c r="J131" s="451"/>
      <c r="K131" s="69"/>
      <c r="L131" s="511"/>
      <c r="M131" s="452">
        <v>92090.457074766804</v>
      </c>
      <c r="N131" s="453">
        <v>22311.599375590082</v>
      </c>
    </row>
    <row r="132" spans="2:14" ht="14">
      <c r="B132" s="468"/>
      <c r="C132" s="432"/>
      <c r="D132" s="508"/>
      <c r="E132" s="432"/>
      <c r="F132" s="432"/>
      <c r="G132" s="432"/>
      <c r="H132" s="432"/>
      <c r="I132" s="432"/>
      <c r="J132" s="482"/>
      <c r="K132" s="64"/>
      <c r="L132" s="538"/>
      <c r="M132" s="438"/>
      <c r="N132" s="438"/>
    </row>
    <row r="133" spans="2:14" ht="14">
      <c r="B133" s="783" t="s">
        <v>387</v>
      </c>
      <c r="C133" s="469" t="s">
        <v>819</v>
      </c>
      <c r="D133" s="740" t="s">
        <v>398</v>
      </c>
      <c r="E133" s="739">
        <v>43370</v>
      </c>
      <c r="F133" s="739">
        <v>54954</v>
      </c>
      <c r="G133" s="443">
        <v>31.736986301369864</v>
      </c>
      <c r="H133" s="444" t="s">
        <v>784</v>
      </c>
      <c r="I133" s="497"/>
      <c r="J133" s="467">
        <v>3.85E-2</v>
      </c>
      <c r="K133" s="69"/>
      <c r="L133" s="476">
        <v>75500</v>
      </c>
      <c r="M133" s="486">
        <v>11061.979664132268</v>
      </c>
      <c r="N133" s="447">
        <v>2680.087236038607</v>
      </c>
    </row>
    <row r="134" spans="2:14" ht="14">
      <c r="B134" s="784"/>
      <c r="C134" s="469" t="s">
        <v>820</v>
      </c>
      <c r="D134" s="740" t="s">
        <v>398</v>
      </c>
      <c r="E134" s="739">
        <v>43370</v>
      </c>
      <c r="F134" s="739">
        <v>54954</v>
      </c>
      <c r="G134" s="443">
        <v>31.736986301369864</v>
      </c>
      <c r="H134" s="444" t="s">
        <v>784</v>
      </c>
      <c r="I134" s="497"/>
      <c r="J134" s="467">
        <v>3.85E-2</v>
      </c>
      <c r="K134" s="64"/>
      <c r="L134" s="476">
        <v>740000</v>
      </c>
      <c r="M134" s="486">
        <v>108422.05233719046</v>
      </c>
      <c r="N134" s="447">
        <v>26268.404697596943</v>
      </c>
    </row>
    <row r="135" spans="2:14" ht="14">
      <c r="B135" s="784"/>
      <c r="C135" s="469" t="s">
        <v>821</v>
      </c>
      <c r="D135" s="740" t="s">
        <v>398</v>
      </c>
      <c r="E135" s="739">
        <v>43370</v>
      </c>
      <c r="F135" s="739">
        <v>54954</v>
      </c>
      <c r="G135" s="443">
        <v>31.736986301369864</v>
      </c>
      <c r="H135" s="444" t="s">
        <v>784</v>
      </c>
      <c r="I135" s="497"/>
      <c r="J135" s="467">
        <v>3.85E-2</v>
      </c>
      <c r="K135" s="69"/>
      <c r="L135" s="476">
        <v>297500</v>
      </c>
      <c r="M135" s="486">
        <v>43588.595365289402</v>
      </c>
      <c r="N135" s="447">
        <v>10560.608645317689</v>
      </c>
    </row>
    <row r="136" spans="2:14" ht="14">
      <c r="B136" s="785"/>
      <c r="C136" s="469" t="s">
        <v>819</v>
      </c>
      <c r="D136" s="740" t="s">
        <v>803</v>
      </c>
      <c r="E136" s="739">
        <v>43370</v>
      </c>
      <c r="F136" s="739">
        <v>44910</v>
      </c>
      <c r="G136" s="443">
        <v>4.2191780821917808</v>
      </c>
      <c r="H136" s="444" t="s">
        <v>809</v>
      </c>
      <c r="I136" s="497" t="s">
        <v>392</v>
      </c>
      <c r="J136" s="467">
        <v>1.0999999999999999E-2</v>
      </c>
      <c r="K136" s="64"/>
      <c r="L136" s="476">
        <v>6346339045.5900002</v>
      </c>
      <c r="M136" s="486">
        <v>28103.08611117566</v>
      </c>
      <c r="N136" s="447">
        <v>6808.7923379638523</v>
      </c>
    </row>
    <row r="137" spans="2:14" ht="14.5">
      <c r="B137" s="46"/>
      <c r="C137" s="456"/>
      <c r="D137" s="503"/>
      <c r="E137" s="458"/>
      <c r="F137" s="458"/>
      <c r="G137" s="457"/>
      <c r="H137" s="478"/>
      <c r="I137" s="478"/>
      <c r="J137" s="479"/>
      <c r="K137" s="64"/>
      <c r="L137" s="511"/>
      <c r="M137" s="452">
        <v>191175.71347778777</v>
      </c>
      <c r="N137" s="453">
        <v>46317.892916917088</v>
      </c>
    </row>
    <row r="138" spans="2:14" ht="14.5">
      <c r="B138" s="46"/>
      <c r="C138" s="456"/>
      <c r="D138" s="503"/>
      <c r="E138" s="458"/>
      <c r="F138" s="458"/>
      <c r="G138" s="457"/>
      <c r="H138" s="478"/>
      <c r="I138" s="478"/>
      <c r="J138" s="479"/>
      <c r="K138" s="64"/>
      <c r="L138" s="511"/>
      <c r="M138" s="511"/>
      <c r="N138" s="511"/>
    </row>
    <row r="139" spans="2:14" ht="14">
      <c r="B139" s="775" t="s">
        <v>725</v>
      </c>
      <c r="C139" s="621" t="s">
        <v>911</v>
      </c>
      <c r="D139" s="740" t="s">
        <v>803</v>
      </c>
      <c r="E139" s="739">
        <v>44319</v>
      </c>
      <c r="F139" s="739">
        <v>45782</v>
      </c>
      <c r="G139" s="443">
        <v>4.0082191780821921</v>
      </c>
      <c r="H139" s="444" t="s">
        <v>784</v>
      </c>
      <c r="I139" s="497"/>
      <c r="J139" s="467">
        <v>2.0500000000000001E-2</v>
      </c>
      <c r="K139" s="69"/>
      <c r="L139" s="476">
        <v>70814184000</v>
      </c>
      <c r="M139" s="486">
        <v>313581.90287918685</v>
      </c>
      <c r="N139" s="447">
        <v>75974.362715946278</v>
      </c>
    </row>
    <row r="140" spans="2:14" ht="14">
      <c r="B140" s="776"/>
      <c r="C140" s="621" t="s">
        <v>779</v>
      </c>
      <c r="D140" s="740" t="s">
        <v>803</v>
      </c>
      <c r="E140" s="739">
        <v>44336</v>
      </c>
      <c r="F140" s="739">
        <v>46162</v>
      </c>
      <c r="G140" s="443">
        <v>5.0027397260273974</v>
      </c>
      <c r="H140" s="444" t="s">
        <v>784</v>
      </c>
      <c r="I140" s="497"/>
      <c r="J140" s="467">
        <v>2.5000000000000001E-2</v>
      </c>
      <c r="K140" s="69"/>
      <c r="L140" s="476">
        <v>59142680000</v>
      </c>
      <c r="M140" s="486">
        <v>261897.73133267797</v>
      </c>
      <c r="N140" s="447">
        <v>63452.364604146838</v>
      </c>
    </row>
    <row r="141" spans="2:14" ht="14">
      <c r="B141" s="777"/>
      <c r="C141" s="621" t="s">
        <v>823</v>
      </c>
      <c r="D141" s="740" t="s">
        <v>803</v>
      </c>
      <c r="E141" s="741">
        <v>44319</v>
      </c>
      <c r="F141" s="741">
        <v>45782</v>
      </c>
      <c r="G141" s="443">
        <v>4.0082191780821921</v>
      </c>
      <c r="H141" s="444" t="s">
        <v>784</v>
      </c>
      <c r="I141" s="497"/>
      <c r="J141" s="467">
        <v>-6.1999999999999998E-3</v>
      </c>
      <c r="K141" s="69"/>
      <c r="L141" s="476">
        <v>11855195457.441</v>
      </c>
      <c r="M141" s="486">
        <v>52497.600629685156</v>
      </c>
      <c r="N141" s="447">
        <v>12719.075033782232</v>
      </c>
    </row>
    <row r="142" spans="2:14" ht="14.5">
      <c r="B142" s="46"/>
      <c r="C142" s="456"/>
      <c r="D142" s="503"/>
      <c r="E142" s="458"/>
      <c r="F142" s="458"/>
      <c r="G142" s="457"/>
      <c r="H142" s="478"/>
      <c r="I142" s="478"/>
      <c r="J142" s="479"/>
      <c r="K142" s="64"/>
      <c r="L142" s="511"/>
      <c r="M142" s="452">
        <v>627977.23484155</v>
      </c>
      <c r="N142" s="453">
        <v>152145.80235387533</v>
      </c>
    </row>
    <row r="143" spans="2:14" ht="14.5">
      <c r="B143" s="46"/>
      <c r="C143" s="456"/>
      <c r="D143" s="503"/>
      <c r="E143" s="458"/>
      <c r="F143" s="458"/>
      <c r="G143" s="457"/>
      <c r="H143" s="478"/>
      <c r="I143" s="478"/>
      <c r="J143" s="479"/>
      <c r="K143" s="64"/>
      <c r="L143" s="511"/>
      <c r="M143" s="511"/>
      <c r="N143" s="511"/>
    </row>
    <row r="144" spans="2:14" ht="14.5" thickBot="1">
      <c r="B144" s="778" t="s">
        <v>389</v>
      </c>
      <c r="C144" s="778"/>
      <c r="D144" s="680"/>
      <c r="E144" s="680"/>
      <c r="F144" s="680"/>
      <c r="G144" s="680"/>
      <c r="H144" s="680"/>
      <c r="I144" s="680"/>
      <c r="J144" s="539"/>
      <c r="K144" s="69"/>
      <c r="L144" s="539"/>
      <c r="M144" s="540">
        <v>4181315.9889862826</v>
      </c>
      <c r="N144" s="727">
        <v>1013045.7614437614</v>
      </c>
    </row>
    <row r="145" ht="13" thickTop="1"/>
  </sheetData>
  <mergeCells count="17">
    <mergeCell ref="B44:B48"/>
    <mergeCell ref="B103:B108"/>
    <mergeCell ref="B111:B122"/>
    <mergeCell ref="B125:B130"/>
    <mergeCell ref="B133:B136"/>
    <mergeCell ref="B51:B52"/>
    <mergeCell ref="P3:Q3"/>
    <mergeCell ref="H4:J4"/>
    <mergeCell ref="B8:B12"/>
    <mergeCell ref="B15:B16"/>
    <mergeCell ref="B19:B39"/>
    <mergeCell ref="B58:B61"/>
    <mergeCell ref="B66:B72"/>
    <mergeCell ref="B81:B82"/>
    <mergeCell ref="B88:B98"/>
    <mergeCell ref="B144:C144"/>
    <mergeCell ref="B139:B141"/>
  </mergeCells>
  <hyperlinks>
    <hyperlink ref="A1" location="Contenido!A1" display="Volver al Contenido" xr:uid="{130AFE99-44EF-488B-8098-57081A67EA1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31EFF-341D-459A-924D-ACCB5175CF05}">
  <dimension ref="A1:S98"/>
  <sheetViews>
    <sheetView showGridLines="0" zoomScale="70" zoomScaleNormal="70" workbookViewId="0">
      <selection activeCell="I18" sqref="I18"/>
    </sheetView>
  </sheetViews>
  <sheetFormatPr baseColWidth="10" defaultColWidth="10.81640625" defaultRowHeight="12.5"/>
  <cols>
    <col min="1" max="1" width="15.7265625" style="494" customWidth="1"/>
    <col min="2" max="2" width="34.81640625" style="494" customWidth="1"/>
    <col min="3" max="3" width="11.90625" style="494" bestFit="1" customWidth="1"/>
    <col min="4" max="4" width="14.81640625" style="494" customWidth="1"/>
    <col min="5" max="5" width="13.81640625" style="494" customWidth="1"/>
    <col min="6" max="6" width="12.1796875" style="494" bestFit="1" customWidth="1"/>
    <col min="7" max="7" width="10.81640625" style="494"/>
    <col min="8" max="8" width="3.81640625" style="494" customWidth="1"/>
    <col min="9" max="11" width="10.81640625" style="494"/>
    <col min="12" max="12" width="19.1796875" style="494" bestFit="1" customWidth="1"/>
    <col min="13" max="13" width="16.453125" style="494" customWidth="1"/>
    <col min="14" max="14" width="17.26953125" style="494" customWidth="1"/>
    <col min="15" max="15" width="10.81640625" style="494"/>
    <col min="16" max="19" width="10.81640625" style="640"/>
    <col min="20" max="16384" width="10.81640625" style="494"/>
  </cols>
  <sheetData>
    <row r="1" spans="1:14" ht="31" customHeight="1">
      <c r="A1" s="2" t="s">
        <v>16</v>
      </c>
    </row>
    <row r="3" spans="1:14" ht="37.5" customHeight="1">
      <c r="A3" s="428" t="s">
        <v>366</v>
      </c>
      <c r="B3" s="721" t="s">
        <v>1216</v>
      </c>
      <c r="C3" s="681" t="s">
        <v>367</v>
      </c>
      <c r="D3" s="429" t="s">
        <v>368</v>
      </c>
      <c r="E3" s="430" t="s">
        <v>390</v>
      </c>
      <c r="F3" s="721" t="s">
        <v>370</v>
      </c>
      <c r="G3" s="430" t="s">
        <v>371</v>
      </c>
      <c r="H3" s="788" t="s">
        <v>372</v>
      </c>
      <c r="I3" s="789"/>
      <c r="J3" s="790"/>
      <c r="K3" s="431"/>
      <c r="L3" s="430" t="s">
        <v>1217</v>
      </c>
      <c r="M3" s="430" t="s">
        <v>1218</v>
      </c>
      <c r="N3" s="430" t="s">
        <v>1219</v>
      </c>
    </row>
    <row r="4" spans="1:14" ht="14.5">
      <c r="A4" s="432"/>
      <c r="B4" s="432"/>
      <c r="C4" s="432"/>
      <c r="D4" s="432"/>
      <c r="E4" s="432"/>
      <c r="F4" s="432"/>
      <c r="G4" s="432"/>
      <c r="H4" s="432"/>
      <c r="I4" s="432"/>
      <c r="J4" s="432"/>
      <c r="K4" s="46"/>
      <c r="L4" s="432"/>
      <c r="M4" s="432"/>
      <c r="N4" s="432"/>
    </row>
    <row r="5" spans="1:14" ht="14.5" thickBot="1">
      <c r="A5" s="433" t="s">
        <v>373</v>
      </c>
      <c r="B5" s="433"/>
      <c r="C5" s="433"/>
      <c r="D5" s="433"/>
      <c r="E5" s="433"/>
      <c r="F5" s="433"/>
      <c r="G5" s="433"/>
      <c r="H5" s="433"/>
      <c r="I5" s="434"/>
      <c r="J5" s="434"/>
      <c r="K5" s="431"/>
      <c r="L5" s="434"/>
      <c r="M5" s="435">
        <v>5793087.7610366615</v>
      </c>
      <c r="N5" s="436">
        <v>1403544.4863407027</v>
      </c>
    </row>
    <row r="6" spans="1:14" ht="15" thickTop="1">
      <c r="A6" s="437"/>
      <c r="B6" s="468"/>
      <c r="C6" s="432"/>
      <c r="D6" s="432"/>
      <c r="E6" s="432"/>
      <c r="F6" s="432"/>
      <c r="G6" s="432"/>
      <c r="H6" s="432"/>
      <c r="I6" s="432"/>
      <c r="J6" s="432"/>
      <c r="K6" s="46"/>
      <c r="L6" s="432"/>
      <c r="M6" s="438"/>
      <c r="N6" s="439"/>
    </row>
    <row r="7" spans="1:14" ht="14">
      <c r="A7" s="791" t="s">
        <v>2</v>
      </c>
      <c r="B7" s="465" t="s">
        <v>1220</v>
      </c>
      <c r="C7" s="440" t="s">
        <v>824</v>
      </c>
      <c r="D7" s="441" t="s">
        <v>391</v>
      </c>
      <c r="E7" s="442">
        <v>40878</v>
      </c>
      <c r="F7" s="442">
        <v>45261</v>
      </c>
      <c r="G7" s="443">
        <v>12.008219178082191</v>
      </c>
      <c r="H7" s="444" t="s">
        <v>776</v>
      </c>
      <c r="I7" s="445" t="s">
        <v>392</v>
      </c>
      <c r="J7" s="446">
        <v>4.4699999999999997E-2</v>
      </c>
      <c r="K7" s="431"/>
      <c r="L7" s="447">
        <v>180000000000</v>
      </c>
      <c r="M7" s="448">
        <v>179999.99999996152</v>
      </c>
      <c r="N7" s="449">
        <v>43610.250347055582</v>
      </c>
    </row>
    <row r="8" spans="1:14" ht="14">
      <c r="A8" s="792"/>
      <c r="B8" s="465" t="s">
        <v>1220</v>
      </c>
      <c r="C8" s="440" t="s">
        <v>825</v>
      </c>
      <c r="D8" s="441" t="s">
        <v>391</v>
      </c>
      <c r="E8" s="442">
        <v>40878</v>
      </c>
      <c r="F8" s="442">
        <v>51836</v>
      </c>
      <c r="G8" s="443">
        <v>30.021917808219179</v>
      </c>
      <c r="H8" s="444" t="s">
        <v>776</v>
      </c>
      <c r="I8" s="445" t="s">
        <v>392</v>
      </c>
      <c r="J8" s="446">
        <v>4.8399999999999999E-2</v>
      </c>
      <c r="K8" s="431"/>
      <c r="L8" s="447">
        <v>120000000000</v>
      </c>
      <c r="M8" s="448">
        <v>119999.99999997434</v>
      </c>
      <c r="N8" s="449">
        <v>29073.500231370388</v>
      </c>
    </row>
    <row r="9" spans="1:14" ht="14">
      <c r="A9" s="792"/>
      <c r="B9" s="465" t="s">
        <v>1220</v>
      </c>
      <c r="C9" s="440" t="s">
        <v>826</v>
      </c>
      <c r="D9" s="441" t="s">
        <v>391</v>
      </c>
      <c r="E9" s="442">
        <v>41416</v>
      </c>
      <c r="F9" s="442">
        <v>44703</v>
      </c>
      <c r="G9" s="443">
        <v>9.0054794520547947</v>
      </c>
      <c r="H9" s="444" t="s">
        <v>776</v>
      </c>
      <c r="I9" s="445" t="s">
        <v>392</v>
      </c>
      <c r="J9" s="446">
        <v>2.8400000000000002E-2</v>
      </c>
      <c r="K9" s="431"/>
      <c r="L9" s="447">
        <v>0</v>
      </c>
      <c r="M9" s="448">
        <v>0</v>
      </c>
      <c r="N9" s="449">
        <v>0</v>
      </c>
    </row>
    <row r="10" spans="1:14" ht="14">
      <c r="A10" s="792"/>
      <c r="B10" s="465" t="s">
        <v>1220</v>
      </c>
      <c r="C10" s="440" t="s">
        <v>827</v>
      </c>
      <c r="D10" s="441" t="s">
        <v>391</v>
      </c>
      <c r="E10" s="442">
        <v>41416</v>
      </c>
      <c r="F10" s="442">
        <v>46895</v>
      </c>
      <c r="G10" s="443">
        <v>15.010958904109589</v>
      </c>
      <c r="H10" s="444" t="s">
        <v>776</v>
      </c>
      <c r="I10" s="445" t="s">
        <v>392</v>
      </c>
      <c r="J10" s="446">
        <v>3.2500000000000001E-2</v>
      </c>
      <c r="K10" s="431"/>
      <c r="L10" s="447">
        <v>100000000000</v>
      </c>
      <c r="M10" s="448">
        <v>99999.999999978623</v>
      </c>
      <c r="N10" s="449">
        <v>24227.916859475325</v>
      </c>
    </row>
    <row r="11" spans="1:14" ht="14">
      <c r="A11" s="792"/>
      <c r="B11" s="465" t="s">
        <v>1220</v>
      </c>
      <c r="C11" s="440" t="s">
        <v>828</v>
      </c>
      <c r="D11" s="441" t="s">
        <v>391</v>
      </c>
      <c r="E11" s="442">
        <v>42131</v>
      </c>
      <c r="F11" s="442">
        <v>45784</v>
      </c>
      <c r="G11" s="443">
        <v>10.008219178082191</v>
      </c>
      <c r="H11" s="444" t="s">
        <v>776</v>
      </c>
      <c r="I11" s="445" t="s">
        <v>392</v>
      </c>
      <c r="J11" s="446">
        <v>3.7999999999999999E-2</v>
      </c>
      <c r="K11" s="431"/>
      <c r="L11" s="447">
        <v>100000000000</v>
      </c>
      <c r="M11" s="448">
        <v>99999.999999978623</v>
      </c>
      <c r="N11" s="449">
        <v>24227.916859475325</v>
      </c>
    </row>
    <row r="12" spans="1:14" ht="14">
      <c r="A12" s="792"/>
      <c r="B12" s="465" t="s">
        <v>1220</v>
      </c>
      <c r="C12" s="440" t="s">
        <v>829</v>
      </c>
      <c r="D12" s="441" t="s">
        <v>391</v>
      </c>
      <c r="E12" s="442">
        <v>42131</v>
      </c>
      <c r="F12" s="442">
        <v>47610</v>
      </c>
      <c r="G12" s="443">
        <v>15.010958904109589</v>
      </c>
      <c r="H12" s="444" t="s">
        <v>776</v>
      </c>
      <c r="I12" s="445" t="s">
        <v>392</v>
      </c>
      <c r="J12" s="446">
        <v>4.1399999999999999E-2</v>
      </c>
      <c r="K12" s="431"/>
      <c r="L12" s="447">
        <v>120000000000</v>
      </c>
      <c r="M12" s="448">
        <v>119999.99999997434</v>
      </c>
      <c r="N12" s="449">
        <v>29073.500231370388</v>
      </c>
    </row>
    <row r="13" spans="1:14" ht="14">
      <c r="A13" s="792"/>
      <c r="B13" s="465" t="s">
        <v>1220</v>
      </c>
      <c r="C13" s="440" t="s">
        <v>830</v>
      </c>
      <c r="D13" s="441" t="s">
        <v>391</v>
      </c>
      <c r="E13" s="442">
        <v>42131</v>
      </c>
      <c r="F13" s="442">
        <v>49436</v>
      </c>
      <c r="G13" s="443">
        <v>20.013698630136986</v>
      </c>
      <c r="H13" s="444" t="s">
        <v>776</v>
      </c>
      <c r="I13" s="445" t="s">
        <v>392</v>
      </c>
      <c r="J13" s="446">
        <v>4.3400000000000001E-2</v>
      </c>
      <c r="K13" s="431"/>
      <c r="L13" s="447">
        <v>280000000000</v>
      </c>
      <c r="M13" s="448">
        <v>279999.99999994016</v>
      </c>
      <c r="N13" s="449">
        <v>67838.16720653091</v>
      </c>
    </row>
    <row r="14" spans="1:14" ht="14">
      <c r="A14" s="792"/>
      <c r="B14" s="465" t="s">
        <v>1220</v>
      </c>
      <c r="C14" s="440" t="s">
        <v>831</v>
      </c>
      <c r="D14" s="441" t="s">
        <v>391</v>
      </c>
      <c r="E14" s="442">
        <v>42416</v>
      </c>
      <c r="F14" s="442">
        <v>45338</v>
      </c>
      <c r="G14" s="443">
        <v>8.0054794520547947</v>
      </c>
      <c r="H14" s="444" t="s">
        <v>776</v>
      </c>
      <c r="I14" s="445" t="s">
        <v>392</v>
      </c>
      <c r="J14" s="446">
        <v>4.7300000000000002E-2</v>
      </c>
      <c r="K14" s="431"/>
      <c r="L14" s="447">
        <v>115000000000</v>
      </c>
      <c r="M14" s="448">
        <v>114999.99999997542</v>
      </c>
      <c r="N14" s="449">
        <v>27862.104388396623</v>
      </c>
    </row>
    <row r="15" spans="1:14" ht="14">
      <c r="A15" s="792"/>
      <c r="B15" s="465" t="s">
        <v>1220</v>
      </c>
      <c r="C15" s="440" t="s">
        <v>832</v>
      </c>
      <c r="D15" s="441" t="s">
        <v>391</v>
      </c>
      <c r="E15" s="442">
        <v>42416</v>
      </c>
      <c r="F15" s="442">
        <v>46799</v>
      </c>
      <c r="G15" s="443">
        <v>12.008219178082191</v>
      </c>
      <c r="H15" s="444" t="s">
        <v>776</v>
      </c>
      <c r="I15" s="445" t="s">
        <v>392</v>
      </c>
      <c r="J15" s="446">
        <v>5.0500000000000003E-2</v>
      </c>
      <c r="K15" s="431"/>
      <c r="L15" s="447">
        <v>152000000000</v>
      </c>
      <c r="M15" s="448">
        <v>151999.99999996752</v>
      </c>
      <c r="N15" s="449">
        <v>36826.433626402497</v>
      </c>
    </row>
    <row r="16" spans="1:14" ht="14">
      <c r="A16" s="792"/>
      <c r="B16" s="465" t="s">
        <v>1220</v>
      </c>
      <c r="C16" s="440" t="s">
        <v>833</v>
      </c>
      <c r="D16" s="441" t="s">
        <v>391</v>
      </c>
      <c r="E16" s="442">
        <v>42416</v>
      </c>
      <c r="F16" s="442">
        <v>51548</v>
      </c>
      <c r="G16" s="443">
        <v>25.019178082191782</v>
      </c>
      <c r="H16" s="444" t="s">
        <v>776</v>
      </c>
      <c r="I16" s="445" t="s">
        <v>392</v>
      </c>
      <c r="J16" s="446">
        <v>5.3800000000000001E-2</v>
      </c>
      <c r="K16" s="431"/>
      <c r="L16" s="447">
        <v>133000000000</v>
      </c>
      <c r="M16" s="448">
        <v>132999.99999997157</v>
      </c>
      <c r="N16" s="449">
        <v>32223.129423102178</v>
      </c>
    </row>
    <row r="17" spans="1:14" ht="14">
      <c r="A17" s="792"/>
      <c r="B17" s="465" t="s">
        <v>1220</v>
      </c>
      <c r="C17" s="440" t="s">
        <v>834</v>
      </c>
      <c r="D17" s="441" t="s">
        <v>391</v>
      </c>
      <c r="E17" s="442">
        <v>42843</v>
      </c>
      <c r="F17" s="442">
        <v>45400</v>
      </c>
      <c r="G17" s="443">
        <v>7.0054794520547947</v>
      </c>
      <c r="H17" s="444" t="s">
        <v>784</v>
      </c>
      <c r="I17" s="445"/>
      <c r="J17" s="446">
        <v>6.7500000000000004E-2</v>
      </c>
      <c r="K17" s="431"/>
      <c r="L17" s="447">
        <v>260780000000</v>
      </c>
      <c r="M17" s="448">
        <v>260779.99999994427</v>
      </c>
      <c r="N17" s="449">
        <v>63181.561586139753</v>
      </c>
    </row>
    <row r="18" spans="1:14" ht="14">
      <c r="A18" s="792"/>
      <c r="B18" s="465" t="s">
        <v>1220</v>
      </c>
      <c r="C18" s="440" t="s">
        <v>835</v>
      </c>
      <c r="D18" s="441" t="s">
        <v>391</v>
      </c>
      <c r="E18" s="442">
        <v>42843</v>
      </c>
      <c r="F18" s="442">
        <v>48322</v>
      </c>
      <c r="G18" s="443">
        <v>15.010958904109589</v>
      </c>
      <c r="H18" s="444" t="s">
        <v>776</v>
      </c>
      <c r="I18" s="445" t="s">
        <v>392</v>
      </c>
      <c r="J18" s="446">
        <v>3.8100000000000002E-2</v>
      </c>
      <c r="K18" s="431"/>
      <c r="L18" s="447">
        <v>196300000000</v>
      </c>
      <c r="M18" s="448">
        <v>196299.99999995803</v>
      </c>
      <c r="N18" s="449">
        <v>47559.400795150061</v>
      </c>
    </row>
    <row r="19" spans="1:14" ht="14">
      <c r="A19" s="792"/>
      <c r="B19" s="465" t="s">
        <v>1220</v>
      </c>
      <c r="C19" s="440" t="s">
        <v>836</v>
      </c>
      <c r="D19" s="441" t="s">
        <v>391</v>
      </c>
      <c r="E19" s="442">
        <v>42843</v>
      </c>
      <c r="F19" s="442">
        <v>51974</v>
      </c>
      <c r="G19" s="443">
        <v>25.016438356164382</v>
      </c>
      <c r="H19" s="444" t="s">
        <v>776</v>
      </c>
      <c r="I19" s="445" t="s">
        <v>392</v>
      </c>
      <c r="J19" s="446">
        <v>0.04</v>
      </c>
      <c r="K19" s="431"/>
      <c r="L19" s="447">
        <v>242920000000</v>
      </c>
      <c r="M19" s="448">
        <v>242919.99999994808</v>
      </c>
      <c r="N19" s="449">
        <v>58854.455635037462</v>
      </c>
    </row>
    <row r="20" spans="1:14" ht="14">
      <c r="A20" s="792"/>
      <c r="B20" s="465" t="s">
        <v>1220</v>
      </c>
      <c r="C20" s="440" t="s">
        <v>837</v>
      </c>
      <c r="D20" s="441" t="s">
        <v>391</v>
      </c>
      <c r="E20" s="442">
        <v>43067</v>
      </c>
      <c r="F20" s="442">
        <v>45989</v>
      </c>
      <c r="G20" s="443">
        <v>8.0054794520547947</v>
      </c>
      <c r="H20" s="444" t="s">
        <v>784</v>
      </c>
      <c r="I20" s="445"/>
      <c r="J20" s="446">
        <v>6.9900000000000004E-2</v>
      </c>
      <c r="K20" s="431"/>
      <c r="L20" s="447">
        <v>150080000000</v>
      </c>
      <c r="M20" s="448">
        <v>150079.99999996793</v>
      </c>
      <c r="N20" s="449">
        <v>36361.25762270057</v>
      </c>
    </row>
    <row r="21" spans="1:14" ht="14">
      <c r="A21" s="792"/>
      <c r="B21" s="465" t="s">
        <v>1220</v>
      </c>
      <c r="C21" s="440" t="s">
        <v>838</v>
      </c>
      <c r="D21" s="441" t="s">
        <v>391</v>
      </c>
      <c r="E21" s="442">
        <v>43067</v>
      </c>
      <c r="F21" s="442">
        <v>48180</v>
      </c>
      <c r="G21" s="443">
        <v>14.008219178082191</v>
      </c>
      <c r="H21" s="444" t="s">
        <v>776</v>
      </c>
      <c r="I21" s="445" t="s">
        <v>392</v>
      </c>
      <c r="J21" s="446">
        <v>3.7499999999999999E-2</v>
      </c>
      <c r="K21" s="431"/>
      <c r="L21" s="447">
        <v>120100000000</v>
      </c>
      <c r="M21" s="448">
        <v>120099.99999997433</v>
      </c>
      <c r="N21" s="449">
        <v>29097.728148229864</v>
      </c>
    </row>
    <row r="22" spans="1:14" ht="14">
      <c r="A22" s="792"/>
      <c r="B22" s="465" t="s">
        <v>1220</v>
      </c>
      <c r="C22" s="440" t="s">
        <v>839</v>
      </c>
      <c r="D22" s="441" t="s">
        <v>391</v>
      </c>
      <c r="E22" s="442">
        <v>43067</v>
      </c>
      <c r="F22" s="442">
        <v>54024</v>
      </c>
      <c r="G22" s="443">
        <v>30.019178082191782</v>
      </c>
      <c r="H22" s="444" t="s">
        <v>776</v>
      </c>
      <c r="I22" s="445" t="s">
        <v>392</v>
      </c>
      <c r="J22" s="446">
        <v>3.9800000000000002E-2</v>
      </c>
      <c r="K22" s="431"/>
      <c r="L22" s="447">
        <v>229820000000</v>
      </c>
      <c r="M22" s="448">
        <v>229819.99999995087</v>
      </c>
      <c r="N22" s="449">
        <v>55680.598526446192</v>
      </c>
    </row>
    <row r="23" spans="1:14" ht="14">
      <c r="A23" s="792"/>
      <c r="B23" s="465" t="s">
        <v>1220</v>
      </c>
      <c r="C23" s="440" t="s">
        <v>840</v>
      </c>
      <c r="D23" s="441" t="s">
        <v>391</v>
      </c>
      <c r="E23" s="442">
        <v>43306</v>
      </c>
      <c r="F23" s="442">
        <v>46593</v>
      </c>
      <c r="G23" s="443">
        <v>9.0054794520547947</v>
      </c>
      <c r="H23" s="444" t="s">
        <v>776</v>
      </c>
      <c r="I23" s="445" t="s">
        <v>392</v>
      </c>
      <c r="J23" s="446">
        <v>3.49E-2</v>
      </c>
      <c r="K23" s="431"/>
      <c r="L23" s="447">
        <v>156500000000</v>
      </c>
      <c r="M23" s="448">
        <v>156499.99999996656</v>
      </c>
      <c r="N23" s="449">
        <v>37916.689885078886</v>
      </c>
    </row>
    <row r="24" spans="1:14" ht="14">
      <c r="A24" s="792"/>
      <c r="B24" s="465" t="s">
        <v>1220</v>
      </c>
      <c r="C24" s="440" t="s">
        <v>841</v>
      </c>
      <c r="D24" s="441" t="s">
        <v>391</v>
      </c>
      <c r="E24" s="442">
        <v>43306</v>
      </c>
      <c r="F24" s="442">
        <v>48785</v>
      </c>
      <c r="G24" s="443">
        <v>15.010958904109589</v>
      </c>
      <c r="H24" s="444" t="s">
        <v>776</v>
      </c>
      <c r="I24" s="445" t="s">
        <v>392</v>
      </c>
      <c r="J24" s="446">
        <v>3.8899999999999997E-2</v>
      </c>
      <c r="K24" s="431"/>
      <c r="L24" s="447">
        <v>142063000000</v>
      </c>
      <c r="M24" s="448">
        <v>142062.99999996964</v>
      </c>
      <c r="N24" s="449">
        <v>34418.905528076437</v>
      </c>
    </row>
    <row r="25" spans="1:14" ht="14">
      <c r="A25" s="792"/>
      <c r="B25" s="465" t="s">
        <v>1220</v>
      </c>
      <c r="C25" s="440" t="s">
        <v>842</v>
      </c>
      <c r="D25" s="441" t="s">
        <v>391</v>
      </c>
      <c r="E25" s="442">
        <v>43306</v>
      </c>
      <c r="F25" s="442">
        <v>52437</v>
      </c>
      <c r="G25" s="443">
        <v>25.016438356164382</v>
      </c>
      <c r="H25" s="444" t="s">
        <v>776</v>
      </c>
      <c r="I25" s="445" t="s">
        <v>392</v>
      </c>
      <c r="J25" s="446">
        <v>4.07E-2</v>
      </c>
      <c r="K25" s="431"/>
      <c r="L25" s="447">
        <v>201437000000</v>
      </c>
      <c r="M25" s="448">
        <v>201436.99999995696</v>
      </c>
      <c r="N25" s="449">
        <v>48803.988884221311</v>
      </c>
    </row>
    <row r="26" spans="1:14" ht="14">
      <c r="A26" s="792"/>
      <c r="B26" s="722" t="s">
        <v>1220</v>
      </c>
      <c r="C26" s="440" t="s">
        <v>843</v>
      </c>
      <c r="D26" s="441" t="s">
        <v>391</v>
      </c>
      <c r="E26" s="442">
        <v>44056</v>
      </c>
      <c r="F26" s="442">
        <v>47343</v>
      </c>
      <c r="G26" s="443">
        <v>9.0054794520547947</v>
      </c>
      <c r="H26" s="444" t="s">
        <v>784</v>
      </c>
      <c r="I26" s="445"/>
      <c r="J26" s="446">
        <v>6.3299999999999995E-2</v>
      </c>
      <c r="K26" s="431"/>
      <c r="L26" s="447">
        <v>160000000000</v>
      </c>
      <c r="M26" s="448">
        <v>159999.9999999658</v>
      </c>
      <c r="N26" s="449">
        <v>38764.666975160522</v>
      </c>
    </row>
    <row r="27" spans="1:14" ht="14">
      <c r="A27" s="793"/>
      <c r="B27" s="722" t="s">
        <v>1220</v>
      </c>
      <c r="C27" s="440" t="s">
        <v>844</v>
      </c>
      <c r="D27" s="441" t="s">
        <v>783</v>
      </c>
      <c r="E27" s="442">
        <v>44056</v>
      </c>
      <c r="F27" s="442">
        <v>51361</v>
      </c>
      <c r="G27" s="443">
        <v>20.013698630136986</v>
      </c>
      <c r="H27" s="444" t="s">
        <v>784</v>
      </c>
      <c r="I27" s="445"/>
      <c r="J27" s="446">
        <v>3.6700000000000003E-2</v>
      </c>
      <c r="K27" s="431"/>
      <c r="L27" s="447">
        <v>509780000</v>
      </c>
      <c r="M27" s="448">
        <v>157638.5557079663</v>
      </c>
      <c r="N27" s="449">
        <v>38192.538215411929</v>
      </c>
    </row>
    <row r="28" spans="1:14" ht="14">
      <c r="A28" s="455"/>
      <c r="B28" s="465" t="s">
        <v>1220</v>
      </c>
      <c r="C28" s="440" t="s">
        <v>1086</v>
      </c>
      <c r="D28" s="441" t="s">
        <v>394</v>
      </c>
      <c r="E28" s="442">
        <v>44526</v>
      </c>
      <c r="F28" s="442">
        <v>48909</v>
      </c>
      <c r="G28" s="443">
        <v>12.008219178082191</v>
      </c>
      <c r="H28" s="444" t="s">
        <v>784</v>
      </c>
      <c r="I28" s="445"/>
      <c r="J28" s="446">
        <v>3.8249999999999999E-2</v>
      </c>
      <c r="K28" s="431"/>
      <c r="L28" s="447">
        <v>330000000</v>
      </c>
      <c r="M28" s="448">
        <v>1362065.0999997091</v>
      </c>
      <c r="N28" s="449">
        <v>329999.99999992951</v>
      </c>
    </row>
    <row r="29" spans="1:14" ht="14">
      <c r="A29" s="450"/>
      <c r="B29" s="450"/>
      <c r="C29" s="450"/>
      <c r="D29" s="450"/>
      <c r="E29" s="450"/>
      <c r="F29" s="450"/>
      <c r="G29" s="450"/>
      <c r="H29" s="450"/>
      <c r="I29" s="450"/>
      <c r="J29" s="450"/>
      <c r="K29" s="450"/>
      <c r="L29" s="450"/>
      <c r="M29" s="452">
        <v>4679703.6557070017</v>
      </c>
      <c r="N29" s="453">
        <v>1133794.7109747618</v>
      </c>
    </row>
    <row r="30" spans="1:14" ht="14.5">
      <c r="A30" s="46"/>
      <c r="B30" s="46"/>
      <c r="C30" s="46"/>
      <c r="D30" s="46"/>
      <c r="E30" s="46"/>
      <c r="F30" s="46"/>
      <c r="G30" s="46"/>
      <c r="H30" s="46"/>
      <c r="I30" s="46"/>
      <c r="J30" s="46"/>
      <c r="K30" s="46"/>
      <c r="L30" s="46"/>
      <c r="M30" s="451"/>
      <c r="N30" s="451"/>
    </row>
    <row r="31" spans="1:14" ht="14.5">
      <c r="A31" s="783" t="s">
        <v>724</v>
      </c>
      <c r="B31" s="465" t="s">
        <v>1220</v>
      </c>
      <c r="C31" s="440" t="s">
        <v>845</v>
      </c>
      <c r="D31" s="454" t="s">
        <v>394</v>
      </c>
      <c r="E31" s="442">
        <v>42559</v>
      </c>
      <c r="F31" s="442">
        <v>48959</v>
      </c>
      <c r="G31" s="443">
        <v>17.534246575342465</v>
      </c>
      <c r="H31" s="444" t="s">
        <v>784</v>
      </c>
      <c r="I31" s="445"/>
      <c r="J31" s="446">
        <v>6.7500000000000004E-2</v>
      </c>
      <c r="K31" s="46"/>
      <c r="L31" s="447">
        <v>142901096</v>
      </c>
      <c r="M31" s="448">
        <v>593212.45863565116</v>
      </c>
      <c r="N31" s="449">
        <v>143723.02127832576</v>
      </c>
    </row>
    <row r="32" spans="1:14" ht="14">
      <c r="A32" s="785"/>
      <c r="B32" s="465" t="s">
        <v>1220</v>
      </c>
      <c r="C32" s="440" t="s">
        <v>846</v>
      </c>
      <c r="D32" s="454" t="s">
        <v>783</v>
      </c>
      <c r="E32" s="442">
        <v>42559</v>
      </c>
      <c r="F32" s="442">
        <v>48959</v>
      </c>
      <c r="G32" s="443">
        <v>17.534246575342465</v>
      </c>
      <c r="H32" s="444" t="s">
        <v>784</v>
      </c>
      <c r="I32" s="445"/>
      <c r="J32" s="446">
        <v>6.25E-2</v>
      </c>
      <c r="K32" s="431"/>
      <c r="L32" s="447">
        <v>1358773563.5</v>
      </c>
      <c r="M32" s="448">
        <v>420171.64669400878</v>
      </c>
      <c r="N32" s="449">
        <v>101798.83722813461</v>
      </c>
    </row>
    <row r="33" spans="1:14" ht="14">
      <c r="A33" s="455"/>
      <c r="B33" s="723"/>
      <c r="C33" s="456"/>
      <c r="D33" s="457"/>
      <c r="E33" s="458"/>
      <c r="F33" s="459"/>
      <c r="G33" s="460"/>
      <c r="H33" s="461"/>
      <c r="I33" s="462"/>
      <c r="J33" s="463"/>
      <c r="K33" s="431"/>
      <c r="L33" s="464"/>
      <c r="M33" s="452">
        <v>1013384.10532966</v>
      </c>
      <c r="N33" s="453">
        <v>245521.85850646038</v>
      </c>
    </row>
    <row r="34" spans="1:14" ht="14.5">
      <c r="A34" s="46"/>
      <c r="B34" s="724"/>
      <c r="C34" s="46"/>
      <c r="D34" s="46"/>
      <c r="E34" s="46"/>
      <c r="F34" s="46"/>
      <c r="G34" s="46"/>
      <c r="H34" s="46"/>
      <c r="I34" s="46"/>
      <c r="J34" s="451"/>
      <c r="K34" s="431"/>
      <c r="L34" s="451"/>
      <c r="M34" s="438"/>
      <c r="N34" s="438"/>
    </row>
    <row r="35" spans="1:14" ht="14">
      <c r="A35" s="642" t="s">
        <v>393</v>
      </c>
      <c r="B35" s="725" t="s">
        <v>1220</v>
      </c>
      <c r="C35" s="465" t="s">
        <v>847</v>
      </c>
      <c r="D35" s="466" t="s">
        <v>391</v>
      </c>
      <c r="E35" s="442">
        <v>40827</v>
      </c>
      <c r="F35" s="442">
        <v>46306</v>
      </c>
      <c r="G35" s="443">
        <v>15.010958904109589</v>
      </c>
      <c r="H35" s="444" t="s">
        <v>776</v>
      </c>
      <c r="I35" s="445" t="s">
        <v>392</v>
      </c>
      <c r="J35" s="467">
        <v>4.48E-2</v>
      </c>
      <c r="K35" s="431"/>
      <c r="L35" s="447">
        <v>100000000000</v>
      </c>
      <c r="M35" s="448">
        <v>100000</v>
      </c>
      <c r="N35" s="447">
        <v>24227.916859480505</v>
      </c>
    </row>
    <row r="36" spans="1:14" ht="14.5">
      <c r="A36" s="46"/>
      <c r="B36" s="724"/>
      <c r="C36" s="46"/>
      <c r="D36" s="46"/>
      <c r="E36" s="46"/>
      <c r="F36" s="46"/>
      <c r="G36" s="46"/>
      <c r="H36" s="46"/>
      <c r="I36" s="46"/>
      <c r="J36" s="451"/>
      <c r="K36" s="46"/>
      <c r="L36" s="451"/>
      <c r="M36" s="452">
        <v>100000</v>
      </c>
      <c r="N36" s="453">
        <v>24227.916859480505</v>
      </c>
    </row>
    <row r="37" spans="1:14" ht="14.5">
      <c r="A37" s="46"/>
      <c r="B37" s="724"/>
      <c r="C37" s="46"/>
      <c r="D37" s="46"/>
      <c r="E37" s="46"/>
      <c r="F37" s="46"/>
      <c r="G37" s="46"/>
      <c r="H37" s="46"/>
      <c r="I37" s="46"/>
      <c r="J37" s="46"/>
      <c r="K37" s="431"/>
      <c r="L37" s="46"/>
      <c r="M37" s="438"/>
      <c r="N37" s="439"/>
    </row>
    <row r="38" spans="1:14" ht="15" thickBot="1">
      <c r="A38" s="433" t="s">
        <v>375</v>
      </c>
      <c r="B38" s="433"/>
      <c r="C38" s="433"/>
      <c r="D38" s="433"/>
      <c r="E38" s="433"/>
      <c r="F38" s="433"/>
      <c r="G38" s="433"/>
      <c r="H38" s="433"/>
      <c r="I38" s="434"/>
      <c r="J38" s="434"/>
      <c r="K38" s="46"/>
      <c r="L38" s="434"/>
      <c r="M38" s="435">
        <v>5157770.8864021348</v>
      </c>
      <c r="N38" s="436">
        <v>1249620.4421599999</v>
      </c>
    </row>
    <row r="39" spans="1:14" ht="14.5" thickTop="1">
      <c r="A39" s="468"/>
      <c r="B39" s="468"/>
      <c r="C39" s="432"/>
      <c r="D39" s="432"/>
      <c r="E39" s="432"/>
      <c r="F39" s="432"/>
      <c r="G39" s="432"/>
      <c r="H39" s="432"/>
      <c r="I39" s="432"/>
      <c r="J39" s="432"/>
      <c r="K39" s="431"/>
      <c r="L39" s="432"/>
      <c r="M39" s="438"/>
      <c r="N39" s="439"/>
    </row>
    <row r="40" spans="1:14" ht="14.5">
      <c r="A40" s="791" t="s">
        <v>8</v>
      </c>
      <c r="B40" s="465" t="s">
        <v>1220</v>
      </c>
      <c r="C40" s="469" t="s">
        <v>848</v>
      </c>
      <c r="D40" s="470" t="s">
        <v>394</v>
      </c>
      <c r="E40" s="471">
        <v>40563</v>
      </c>
      <c r="F40" s="471">
        <v>46041</v>
      </c>
      <c r="G40" s="472">
        <v>15.008219178082191</v>
      </c>
      <c r="H40" s="473" t="s">
        <v>784</v>
      </c>
      <c r="I40" s="474"/>
      <c r="J40" s="475">
        <v>6.5000000000000002E-2</v>
      </c>
      <c r="K40" s="46"/>
      <c r="L40" s="476">
        <v>38000000</v>
      </c>
      <c r="M40" s="477">
        <v>156843.85894995055</v>
      </c>
      <c r="N40" s="477">
        <v>37999.999745594891</v>
      </c>
    </row>
    <row r="41" spans="1:14" ht="14">
      <c r="A41" s="792"/>
      <c r="B41" s="465" t="s">
        <v>1220</v>
      </c>
      <c r="C41" s="469" t="s">
        <v>849</v>
      </c>
      <c r="D41" s="470" t="s">
        <v>394</v>
      </c>
      <c r="E41" s="471">
        <v>41201</v>
      </c>
      <c r="F41" s="471">
        <v>47957</v>
      </c>
      <c r="G41" s="472">
        <v>18.509589041095889</v>
      </c>
      <c r="H41" s="473" t="s">
        <v>784</v>
      </c>
      <c r="I41" s="474"/>
      <c r="J41" s="475">
        <v>5.8749999999999997E-2</v>
      </c>
      <c r="K41" s="431"/>
      <c r="L41" s="476">
        <v>40000000</v>
      </c>
      <c r="M41" s="477">
        <v>165098.79889468479</v>
      </c>
      <c r="N41" s="477">
        <v>39999.999732205149</v>
      </c>
    </row>
    <row r="42" spans="1:14" ht="14.5">
      <c r="A42" s="792"/>
      <c r="B42" s="465" t="s">
        <v>1220</v>
      </c>
      <c r="C42" s="469" t="s">
        <v>850</v>
      </c>
      <c r="D42" s="470" t="s">
        <v>790</v>
      </c>
      <c r="E42" s="471">
        <v>41220</v>
      </c>
      <c r="F42" s="471">
        <v>44873</v>
      </c>
      <c r="G42" s="472">
        <v>10.008219178082191</v>
      </c>
      <c r="H42" s="473" t="s">
        <v>784</v>
      </c>
      <c r="I42" s="474"/>
      <c r="J42" s="475">
        <v>5.3749999999999999E-2</v>
      </c>
      <c r="K42" s="46"/>
      <c r="L42" s="476">
        <v>104140000</v>
      </c>
      <c r="M42" s="477">
        <v>113472.73572394719</v>
      </c>
      <c r="N42" s="477">
        <v>27492.080069375959</v>
      </c>
    </row>
    <row r="43" spans="1:14" ht="14">
      <c r="A43" s="792"/>
      <c r="B43" s="465" t="s">
        <v>1220</v>
      </c>
      <c r="C43" s="469" t="s">
        <v>851</v>
      </c>
      <c r="D43" s="470" t="s">
        <v>790</v>
      </c>
      <c r="E43" s="471">
        <v>41312</v>
      </c>
      <c r="F43" s="471">
        <v>44964</v>
      </c>
      <c r="G43" s="472">
        <v>10.005479452054795</v>
      </c>
      <c r="H43" s="473" t="s">
        <v>784</v>
      </c>
      <c r="I43" s="474"/>
      <c r="J43" s="475">
        <v>5.1249999999999997E-2</v>
      </c>
      <c r="K43" s="431"/>
      <c r="L43" s="476">
        <v>77305000</v>
      </c>
      <c r="M43" s="477">
        <v>84232.85802899691</v>
      </c>
      <c r="N43" s="477">
        <v>20407.866811629621</v>
      </c>
    </row>
    <row r="44" spans="1:14" ht="14">
      <c r="A44" s="792"/>
      <c r="B44" s="465" t="s">
        <v>1221</v>
      </c>
      <c r="C44" s="469" t="s">
        <v>823</v>
      </c>
      <c r="D44" s="470" t="s">
        <v>394</v>
      </c>
      <c r="E44" s="471">
        <v>41221</v>
      </c>
      <c r="F44" s="471">
        <v>44873</v>
      </c>
      <c r="G44" s="472">
        <v>10.005479452054795</v>
      </c>
      <c r="H44" s="473" t="s">
        <v>784</v>
      </c>
      <c r="I44" s="474"/>
      <c r="J44" s="475">
        <v>5.3749999999999999E-2</v>
      </c>
      <c r="K44" s="431"/>
      <c r="L44" s="476">
        <v>13166766.25</v>
      </c>
      <c r="M44" s="477">
        <v>54345.432330051844</v>
      </c>
      <c r="N44" s="477">
        <v>13166.766161850201</v>
      </c>
    </row>
    <row r="45" spans="1:14" ht="14.5">
      <c r="A45" s="793"/>
      <c r="B45" s="465" t="s">
        <v>1221</v>
      </c>
      <c r="C45" s="469" t="s">
        <v>823</v>
      </c>
      <c r="D45" s="470" t="s">
        <v>394</v>
      </c>
      <c r="E45" s="471">
        <v>41312</v>
      </c>
      <c r="F45" s="471">
        <v>44964</v>
      </c>
      <c r="G45" s="472">
        <v>10.005479452054795</v>
      </c>
      <c r="H45" s="473" t="s">
        <v>784</v>
      </c>
      <c r="I45" s="474"/>
      <c r="J45" s="475">
        <v>5.1249999999999997E-2</v>
      </c>
      <c r="K45" s="46"/>
      <c r="L45" s="476">
        <v>10553729.710000001</v>
      </c>
      <c r="M45" s="477">
        <v>43560.202474503771</v>
      </c>
      <c r="N45" s="477">
        <v>10553.729639344143</v>
      </c>
    </row>
    <row r="46" spans="1:14" ht="14.5">
      <c r="A46" s="450"/>
      <c r="B46" s="724"/>
      <c r="C46" s="456"/>
      <c r="D46" s="457"/>
      <c r="E46" s="458"/>
      <c r="F46" s="458"/>
      <c r="G46" s="46"/>
      <c r="H46" s="478"/>
      <c r="I46" s="478"/>
      <c r="J46" s="479"/>
      <c r="K46" s="431"/>
      <c r="L46" s="479"/>
      <c r="M46" s="452">
        <v>617553.88640213502</v>
      </c>
      <c r="N46" s="453">
        <v>149620.44215999995</v>
      </c>
    </row>
    <row r="47" spans="1:14" ht="14.5">
      <c r="A47" s="46"/>
      <c r="B47" s="724"/>
      <c r="C47" s="456"/>
      <c r="D47" s="457"/>
      <c r="E47" s="458"/>
      <c r="F47" s="458"/>
      <c r="G47" s="46"/>
      <c r="H47" s="478"/>
      <c r="I47" s="478"/>
      <c r="J47" s="479"/>
      <c r="K47" s="46"/>
      <c r="L47" s="479"/>
      <c r="M47" s="438"/>
      <c r="N47" s="438"/>
    </row>
    <row r="48" spans="1:14" ht="14">
      <c r="A48" s="783" t="s">
        <v>376</v>
      </c>
      <c r="B48" s="725" t="s">
        <v>1220</v>
      </c>
      <c r="C48" s="440" t="s">
        <v>852</v>
      </c>
      <c r="D48" s="441" t="s">
        <v>394</v>
      </c>
      <c r="E48" s="442">
        <v>43571</v>
      </c>
      <c r="F48" s="471">
        <v>49050</v>
      </c>
      <c r="G48" s="443">
        <v>15.010958904109589</v>
      </c>
      <c r="H48" s="473" t="s">
        <v>784</v>
      </c>
      <c r="I48" s="445"/>
      <c r="J48" s="467">
        <v>4.7E-2</v>
      </c>
      <c r="K48" s="431"/>
      <c r="L48" s="447">
        <v>600000000</v>
      </c>
      <c r="M48" s="448">
        <v>2476482</v>
      </c>
      <c r="N48" s="476">
        <v>600000</v>
      </c>
    </row>
    <row r="49" spans="1:14" ht="14.5">
      <c r="A49" s="785"/>
      <c r="B49" s="722" t="s">
        <v>1220</v>
      </c>
      <c r="C49" s="440" t="s">
        <v>852</v>
      </c>
      <c r="D49" s="441" t="s">
        <v>394</v>
      </c>
      <c r="E49" s="442">
        <v>44662</v>
      </c>
      <c r="F49" s="471">
        <v>50511</v>
      </c>
      <c r="G49" s="443">
        <v>16.024657534246575</v>
      </c>
      <c r="H49" s="473" t="s">
        <v>784</v>
      </c>
      <c r="I49" s="445"/>
      <c r="J49" s="467">
        <v>5.1999999999999998E-2</v>
      </c>
      <c r="K49" s="46"/>
      <c r="L49" s="447">
        <v>500000000</v>
      </c>
      <c r="M49" s="448">
        <v>2063735.0000000002</v>
      </c>
      <c r="N49" s="476">
        <v>500000</v>
      </c>
    </row>
    <row r="50" spans="1:14" ht="14.5">
      <c r="A50" s="46"/>
      <c r="B50" s="724"/>
      <c r="C50" s="456"/>
      <c r="D50" s="457"/>
      <c r="E50" s="458"/>
      <c r="F50" s="458"/>
      <c r="G50" s="46"/>
      <c r="H50" s="478"/>
      <c r="I50" s="478"/>
      <c r="J50" s="479"/>
      <c r="K50" s="431"/>
      <c r="L50" s="479"/>
      <c r="M50" s="452">
        <v>4540217</v>
      </c>
      <c r="N50" s="453">
        <v>1100000</v>
      </c>
    </row>
    <row r="51" spans="1:14" ht="14.5">
      <c r="A51" s="46"/>
      <c r="B51" s="724"/>
      <c r="C51" s="456"/>
      <c r="D51" s="457"/>
      <c r="E51" s="458"/>
      <c r="F51" s="458"/>
      <c r="G51" s="46"/>
      <c r="H51" s="478"/>
      <c r="I51" s="478"/>
      <c r="J51" s="478"/>
      <c r="K51" s="46"/>
      <c r="L51" s="478"/>
      <c r="M51" s="438"/>
      <c r="N51" s="439"/>
    </row>
    <row r="52" spans="1:14" ht="14.5" thickBot="1">
      <c r="A52" s="433" t="s">
        <v>379</v>
      </c>
      <c r="B52" s="433"/>
      <c r="C52" s="433"/>
      <c r="D52" s="433"/>
      <c r="E52" s="433"/>
      <c r="F52" s="433"/>
      <c r="G52" s="433"/>
      <c r="H52" s="433"/>
      <c r="I52" s="434"/>
      <c r="J52" s="434"/>
      <c r="K52" s="431"/>
      <c r="L52" s="434"/>
      <c r="M52" s="435">
        <v>5596845.0896269213</v>
      </c>
      <c r="N52" s="436">
        <v>1355998.9750687277</v>
      </c>
    </row>
    <row r="53" spans="1:14" ht="15" thickTop="1">
      <c r="A53" s="468"/>
      <c r="B53" s="468"/>
      <c r="C53" s="432"/>
      <c r="D53" s="432"/>
      <c r="E53" s="432"/>
      <c r="F53" s="432"/>
      <c r="G53" s="432"/>
      <c r="H53" s="432"/>
      <c r="I53" s="432"/>
      <c r="J53" s="432"/>
      <c r="K53" s="46"/>
      <c r="L53" s="432"/>
      <c r="M53" s="438"/>
      <c r="N53" s="439"/>
    </row>
    <row r="54" spans="1:14" ht="14.5">
      <c r="A54" s="775" t="s">
        <v>380</v>
      </c>
      <c r="B54" s="725" t="s">
        <v>1220</v>
      </c>
      <c r="C54" s="440" t="s">
        <v>854</v>
      </c>
      <c r="D54" s="441" t="s">
        <v>395</v>
      </c>
      <c r="E54" s="442">
        <v>42824</v>
      </c>
      <c r="F54" s="442">
        <v>45337</v>
      </c>
      <c r="G54" s="443">
        <v>6.8849315068493153</v>
      </c>
      <c r="H54" s="444" t="s">
        <v>853</v>
      </c>
      <c r="I54" s="445" t="s">
        <v>392</v>
      </c>
      <c r="J54" s="467">
        <v>5.0373000000000001E-2</v>
      </c>
      <c r="K54" s="46"/>
      <c r="L54" s="476">
        <v>399499992</v>
      </c>
      <c r="M54" s="448">
        <v>314800.34975202999</v>
      </c>
      <c r="N54" s="447">
        <v>76269.567011275663</v>
      </c>
    </row>
    <row r="55" spans="1:14" ht="14.5">
      <c r="A55" s="776"/>
      <c r="B55" s="726" t="s">
        <v>1220</v>
      </c>
      <c r="C55" s="440" t="s">
        <v>855</v>
      </c>
      <c r="D55" s="441" t="s">
        <v>395</v>
      </c>
      <c r="E55" s="442">
        <v>43222</v>
      </c>
      <c r="F55" s="442">
        <v>45762</v>
      </c>
      <c r="G55" s="443">
        <v>6.9589041095890414</v>
      </c>
      <c r="H55" s="444" t="s">
        <v>853</v>
      </c>
      <c r="I55" s="445" t="s">
        <v>392</v>
      </c>
      <c r="J55" s="467">
        <v>4.7E-2</v>
      </c>
      <c r="K55" s="46"/>
      <c r="L55" s="476">
        <v>803399126.39999998</v>
      </c>
      <c r="M55" s="448">
        <v>633067.16156628926</v>
      </c>
      <c r="N55" s="447">
        <v>153378.98556895368</v>
      </c>
    </row>
    <row r="56" spans="1:14" ht="14.5">
      <c r="A56" s="776"/>
      <c r="B56" s="726" t="s">
        <v>1220</v>
      </c>
      <c r="C56" s="440" t="s">
        <v>856</v>
      </c>
      <c r="D56" s="441" t="s">
        <v>395</v>
      </c>
      <c r="E56" s="442">
        <v>43814</v>
      </c>
      <c r="F56" s="442">
        <v>47467</v>
      </c>
      <c r="G56" s="443">
        <v>10.008219178082191</v>
      </c>
      <c r="H56" s="444" t="s">
        <v>853</v>
      </c>
      <c r="I56" s="445" t="s">
        <v>392</v>
      </c>
      <c r="J56" s="467">
        <v>3.5000000000000003E-2</v>
      </c>
      <c r="K56" s="46"/>
      <c r="L56" s="476">
        <v>497922979.05000001</v>
      </c>
      <c r="M56" s="448">
        <v>392356.27307475061</v>
      </c>
      <c r="N56" s="447">
        <v>95059.751633506865</v>
      </c>
    </row>
    <row r="57" spans="1:14" ht="14.5">
      <c r="A57" s="776"/>
      <c r="B57" s="725" t="s">
        <v>1220</v>
      </c>
      <c r="C57" s="440" t="s">
        <v>857</v>
      </c>
      <c r="D57" s="441" t="s">
        <v>395</v>
      </c>
      <c r="E57" s="442">
        <v>44172</v>
      </c>
      <c r="F57" s="442">
        <v>47072</v>
      </c>
      <c r="G57" s="443">
        <v>7.9452054794520546</v>
      </c>
      <c r="H57" s="444" t="s">
        <v>396</v>
      </c>
      <c r="I57" s="445" t="s">
        <v>392</v>
      </c>
      <c r="J57" s="467">
        <v>2.8299999999999999E-2</v>
      </c>
      <c r="K57" s="46"/>
      <c r="L57" s="476">
        <v>800000000</v>
      </c>
      <c r="M57" s="448">
        <v>630388.69798431429</v>
      </c>
      <c r="N57" s="447">
        <v>152730.04963920132</v>
      </c>
    </row>
    <row r="58" spans="1:14" ht="14.5">
      <c r="A58" s="776"/>
      <c r="B58" s="726" t="s">
        <v>1220</v>
      </c>
      <c r="C58" s="440" t="s">
        <v>858</v>
      </c>
      <c r="D58" s="441" t="s">
        <v>395</v>
      </c>
      <c r="E58" s="442">
        <v>44172</v>
      </c>
      <c r="F58" s="442">
        <v>52732</v>
      </c>
      <c r="G58" s="443">
        <v>23.452054794520549</v>
      </c>
      <c r="H58" s="444" t="s">
        <v>853</v>
      </c>
      <c r="I58" s="445" t="s">
        <v>392</v>
      </c>
      <c r="J58" s="467">
        <v>5.2999999999999999E-2</v>
      </c>
      <c r="K58" s="46"/>
      <c r="L58" s="476">
        <v>890478266.52999997</v>
      </c>
      <c r="M58" s="448">
        <v>701684.29377646989</v>
      </c>
      <c r="N58" s="447">
        <v>170003.48731219606</v>
      </c>
    </row>
    <row r="59" spans="1:14" ht="14">
      <c r="A59" s="776"/>
      <c r="B59" s="726" t="s">
        <v>1220</v>
      </c>
      <c r="C59" s="440" t="s">
        <v>859</v>
      </c>
      <c r="D59" s="441" t="s">
        <v>395</v>
      </c>
      <c r="E59" s="442">
        <v>44238</v>
      </c>
      <c r="F59" s="442">
        <v>52793</v>
      </c>
      <c r="G59" s="443">
        <v>23.438356164383563</v>
      </c>
      <c r="H59" s="444" t="s">
        <v>853</v>
      </c>
      <c r="I59" s="445" t="s">
        <v>392</v>
      </c>
      <c r="J59" s="467">
        <v>5.0700000000000002E-2</v>
      </c>
      <c r="K59" s="431"/>
      <c r="L59" s="476">
        <v>792232921.82000005</v>
      </c>
      <c r="M59" s="448">
        <v>624268.35010802362</v>
      </c>
      <c r="N59" s="447">
        <v>151247.21684422262</v>
      </c>
    </row>
    <row r="60" spans="1:14" ht="14.5">
      <c r="A60" s="776"/>
      <c r="B60" s="725" t="s">
        <v>1220</v>
      </c>
      <c r="C60" s="440" t="s">
        <v>1062</v>
      </c>
      <c r="D60" s="441" t="s">
        <v>395</v>
      </c>
      <c r="E60" s="442">
        <v>44323</v>
      </c>
      <c r="F60" s="442">
        <v>45418</v>
      </c>
      <c r="G60" s="443">
        <v>3</v>
      </c>
      <c r="H60" s="444" t="s">
        <v>396</v>
      </c>
      <c r="I60" s="445" t="s">
        <v>392</v>
      </c>
      <c r="J60" s="467">
        <v>1.2500000000000001E-2</v>
      </c>
      <c r="K60" s="46"/>
      <c r="L60" s="476">
        <v>1200000000</v>
      </c>
      <c r="M60" s="448">
        <v>945583.04697647144</v>
      </c>
      <c r="N60" s="447">
        <v>229095.07445880197</v>
      </c>
    </row>
    <row r="61" spans="1:14" ht="14.5">
      <c r="A61" s="776"/>
      <c r="B61" s="726" t="s">
        <v>1220</v>
      </c>
      <c r="C61" s="440" t="s">
        <v>1087</v>
      </c>
      <c r="D61" s="441" t="s">
        <v>395</v>
      </c>
      <c r="E61" s="442">
        <v>44497</v>
      </c>
      <c r="F61" s="442">
        <v>48136</v>
      </c>
      <c r="G61" s="443">
        <v>9.9698630136986299</v>
      </c>
      <c r="H61" s="444" t="s">
        <v>853</v>
      </c>
      <c r="I61" s="445" t="s">
        <v>392</v>
      </c>
      <c r="J61" s="467">
        <v>5.7709999999999997E-2</v>
      </c>
      <c r="K61" s="46"/>
      <c r="L61" s="476">
        <v>717544702.82000005</v>
      </c>
      <c r="M61" s="448">
        <v>565415.08869530202</v>
      </c>
      <c r="N61" s="447">
        <v>136988.29760005572</v>
      </c>
    </row>
    <row r="62" spans="1:14" ht="14.5">
      <c r="A62" s="776"/>
      <c r="B62" s="726" t="s">
        <v>1220</v>
      </c>
      <c r="C62" s="440" t="s">
        <v>1088</v>
      </c>
      <c r="D62" s="441" t="s">
        <v>395</v>
      </c>
      <c r="E62" s="442">
        <v>44497</v>
      </c>
      <c r="F62" s="442">
        <v>51058</v>
      </c>
      <c r="G62" s="443">
        <v>17.975342465753425</v>
      </c>
      <c r="H62" s="444" t="s">
        <v>853</v>
      </c>
      <c r="I62" s="445" t="s">
        <v>392</v>
      </c>
      <c r="J62" s="467">
        <v>5.8639999999999998E-2</v>
      </c>
      <c r="K62" s="46"/>
      <c r="L62" s="476">
        <v>301644642.69999999</v>
      </c>
      <c r="M62" s="448">
        <v>237691.71695699586</v>
      </c>
      <c r="N62" s="447">
        <v>57587.751566212683</v>
      </c>
    </row>
    <row r="63" spans="1:14" ht="14.5">
      <c r="A63" s="777"/>
      <c r="B63" s="725" t="s">
        <v>1220</v>
      </c>
      <c r="C63" s="440" t="s">
        <v>1222</v>
      </c>
      <c r="D63" s="441" t="s">
        <v>395</v>
      </c>
      <c r="E63" s="442">
        <v>44669</v>
      </c>
      <c r="F63" s="442">
        <v>47223</v>
      </c>
      <c r="G63" s="443">
        <v>6.9972602739726026</v>
      </c>
      <c r="H63" s="444" t="s">
        <v>396</v>
      </c>
      <c r="I63" s="445" t="s">
        <v>392</v>
      </c>
      <c r="J63" s="467">
        <v>1.55E-2</v>
      </c>
      <c r="K63" s="46"/>
      <c r="L63" s="476">
        <v>700000000</v>
      </c>
      <c r="M63" s="448">
        <v>551590.11073627509</v>
      </c>
      <c r="N63" s="447">
        <v>133638.79343430116</v>
      </c>
    </row>
    <row r="64" spans="1:14" ht="14.5">
      <c r="A64" s="46"/>
      <c r="B64" s="724"/>
      <c r="C64" s="456"/>
      <c r="D64" s="457"/>
      <c r="E64" s="458"/>
      <c r="F64" s="458"/>
      <c r="G64" s="460"/>
      <c r="H64" s="457"/>
      <c r="I64" s="457"/>
      <c r="J64" s="46"/>
      <c r="K64" s="46"/>
      <c r="L64" s="480"/>
      <c r="M64" s="452">
        <v>5596845.0896269213</v>
      </c>
      <c r="N64" s="453">
        <v>1355998.9750687277</v>
      </c>
    </row>
    <row r="65" spans="1:14" ht="14.5">
      <c r="A65" s="46"/>
      <c r="B65" s="724"/>
      <c r="C65" s="456"/>
      <c r="D65" s="457"/>
      <c r="E65" s="458"/>
      <c r="F65" s="458"/>
      <c r="G65" s="460"/>
      <c r="H65" s="457"/>
      <c r="I65" s="457"/>
      <c r="J65" s="480"/>
      <c r="K65" s="431"/>
      <c r="L65" s="480"/>
      <c r="M65" s="438"/>
      <c r="N65" s="439"/>
    </row>
    <row r="66" spans="1:14" ht="14.5">
      <c r="A66" s="46"/>
      <c r="B66" s="724"/>
      <c r="C66" s="456"/>
      <c r="D66" s="457"/>
      <c r="E66" s="458"/>
      <c r="F66" s="458"/>
      <c r="G66" s="460"/>
      <c r="H66" s="457"/>
      <c r="I66" s="457"/>
      <c r="J66" s="480"/>
      <c r="K66" s="46"/>
      <c r="L66" s="480"/>
      <c r="M66" s="438"/>
      <c r="N66" s="439"/>
    </row>
    <row r="67" spans="1:14" ht="14.5" thickBot="1">
      <c r="A67" s="433" t="s">
        <v>384</v>
      </c>
      <c r="B67" s="433"/>
      <c r="C67" s="433"/>
      <c r="D67" s="433"/>
      <c r="E67" s="433"/>
      <c r="F67" s="433"/>
      <c r="G67" s="433"/>
      <c r="H67" s="433"/>
      <c r="I67" s="434"/>
      <c r="J67" s="434"/>
      <c r="K67" s="431"/>
      <c r="L67" s="434"/>
      <c r="M67" s="435">
        <v>8251117.6540655391</v>
      </c>
      <c r="N67" s="436">
        <v>1999073.9252049173</v>
      </c>
    </row>
    <row r="68" spans="1:14" ht="15" thickTop="1">
      <c r="A68" s="468"/>
      <c r="B68" s="468"/>
      <c r="C68" s="432"/>
      <c r="D68" s="432"/>
      <c r="E68" s="432"/>
      <c r="F68" s="432"/>
      <c r="G68" s="432"/>
      <c r="H68" s="432"/>
      <c r="I68" s="432"/>
      <c r="J68" s="482"/>
      <c r="K68" s="46"/>
      <c r="L68" s="482"/>
      <c r="M68" s="438"/>
      <c r="N68" s="439"/>
    </row>
    <row r="69" spans="1:14" ht="14" customHeight="1">
      <c r="A69" s="773" t="s">
        <v>397</v>
      </c>
      <c r="B69" s="465" t="s">
        <v>1220</v>
      </c>
      <c r="C69" s="440" t="s">
        <v>860</v>
      </c>
      <c r="D69" s="466" t="s">
        <v>394</v>
      </c>
      <c r="E69" s="442">
        <v>37132</v>
      </c>
      <c r="F69" s="442">
        <v>44727</v>
      </c>
      <c r="G69" s="443">
        <v>20.80821917808219</v>
      </c>
      <c r="H69" s="473" t="s">
        <v>784</v>
      </c>
      <c r="I69" s="445"/>
      <c r="J69" s="467">
        <v>7.3730000000000004E-2</v>
      </c>
      <c r="K69" s="431"/>
      <c r="L69" s="447">
        <v>0</v>
      </c>
      <c r="M69" s="448">
        <v>0</v>
      </c>
      <c r="N69" s="476">
        <v>0</v>
      </c>
    </row>
    <row r="70" spans="1:14" ht="14.5">
      <c r="A70" s="786"/>
      <c r="B70" s="465" t="s">
        <v>1220</v>
      </c>
      <c r="C70" s="440" t="s">
        <v>861</v>
      </c>
      <c r="D70" s="466" t="s">
        <v>398</v>
      </c>
      <c r="E70" s="442">
        <v>43266</v>
      </c>
      <c r="F70" s="442">
        <v>45823</v>
      </c>
      <c r="G70" s="443">
        <v>7.0054794520547947</v>
      </c>
      <c r="H70" s="473" t="s">
        <v>784</v>
      </c>
      <c r="I70" s="445"/>
      <c r="J70" s="467">
        <v>4.8500000000000001E-2</v>
      </c>
      <c r="K70" s="46"/>
      <c r="L70" s="447">
        <v>5800000</v>
      </c>
      <c r="M70" s="448">
        <v>849794.44173875498</v>
      </c>
      <c r="N70" s="476">
        <v>205887.49082095205</v>
      </c>
    </row>
    <row r="71" spans="1:14" ht="14">
      <c r="A71" s="786"/>
      <c r="B71" s="465" t="s">
        <v>1220</v>
      </c>
      <c r="C71" s="440" t="s">
        <v>862</v>
      </c>
      <c r="D71" s="466" t="s">
        <v>398</v>
      </c>
      <c r="E71" s="442">
        <v>43266</v>
      </c>
      <c r="F71" s="442">
        <v>47832</v>
      </c>
      <c r="G71" s="443">
        <v>12.509589041095891</v>
      </c>
      <c r="H71" s="473" t="s">
        <v>784</v>
      </c>
      <c r="I71" s="445"/>
      <c r="J71" s="467">
        <v>3.2000000000000001E-2</v>
      </c>
      <c r="K71" s="431"/>
      <c r="L71" s="447">
        <v>9767819.1178632863</v>
      </c>
      <c r="M71" s="448">
        <v>1431144.5507361675</v>
      </c>
      <c r="N71" s="476">
        <v>346736.51189134445</v>
      </c>
    </row>
    <row r="72" spans="1:14" ht="14.5">
      <c r="A72" s="786"/>
      <c r="B72" s="465" t="s">
        <v>1220</v>
      </c>
      <c r="C72" s="440" t="s">
        <v>863</v>
      </c>
      <c r="D72" s="466" t="s">
        <v>398</v>
      </c>
      <c r="E72" s="442">
        <v>43266</v>
      </c>
      <c r="F72" s="442">
        <v>45641</v>
      </c>
      <c r="G72" s="443">
        <v>6.506849315068493</v>
      </c>
      <c r="H72" s="473" t="s">
        <v>784</v>
      </c>
      <c r="I72" s="445"/>
      <c r="J72" s="467">
        <v>2.3E-2</v>
      </c>
      <c r="K72" s="46"/>
      <c r="L72" s="447">
        <v>1000000</v>
      </c>
      <c r="M72" s="448">
        <v>146516.283058406</v>
      </c>
      <c r="N72" s="476">
        <v>35497.843244991724</v>
      </c>
    </row>
    <row r="73" spans="1:14" ht="14">
      <c r="A73" s="786"/>
      <c r="B73" s="465" t="s">
        <v>1220</v>
      </c>
      <c r="C73" s="440" t="s">
        <v>864</v>
      </c>
      <c r="D73" s="466" t="s">
        <v>398</v>
      </c>
      <c r="E73" s="442">
        <v>43266</v>
      </c>
      <c r="F73" s="442">
        <v>47832</v>
      </c>
      <c r="G73" s="443">
        <v>12.509589041095891</v>
      </c>
      <c r="H73" s="473" t="s">
        <v>784</v>
      </c>
      <c r="I73" s="445"/>
      <c r="J73" s="467">
        <v>2.3E-2</v>
      </c>
      <c r="K73" s="431"/>
      <c r="L73" s="447">
        <v>5057173.1233999999</v>
      </c>
      <c r="M73" s="448">
        <v>740958.2088234378</v>
      </c>
      <c r="N73" s="476">
        <v>179518.73879723845</v>
      </c>
    </row>
    <row r="74" spans="1:14" ht="14.5">
      <c r="A74" s="774"/>
      <c r="B74" s="465" t="s">
        <v>1221</v>
      </c>
      <c r="C74" s="440" t="s">
        <v>823</v>
      </c>
      <c r="D74" s="466" t="s">
        <v>394</v>
      </c>
      <c r="E74" s="442">
        <v>38489</v>
      </c>
      <c r="F74" s="442">
        <v>44727</v>
      </c>
      <c r="G74" s="443">
        <v>17.090410958904108</v>
      </c>
      <c r="H74" s="473" t="s">
        <v>784</v>
      </c>
      <c r="I74" s="445"/>
      <c r="J74" s="467">
        <v>7.3730000000000004E-2</v>
      </c>
      <c r="K74" s="46"/>
      <c r="L74" s="447">
        <v>0</v>
      </c>
      <c r="M74" s="448">
        <v>0</v>
      </c>
      <c r="N74" s="476">
        <v>0</v>
      </c>
    </row>
    <row r="75" spans="1:14" ht="14.5">
      <c r="A75" s="46"/>
      <c r="B75" s="724"/>
      <c r="C75" s="456"/>
      <c r="D75" s="457"/>
      <c r="E75" s="458"/>
      <c r="F75" s="458"/>
      <c r="G75" s="460"/>
      <c r="H75" s="483"/>
      <c r="I75" s="484"/>
      <c r="J75" s="485"/>
      <c r="K75" s="431"/>
      <c r="L75" s="431"/>
      <c r="M75" s="452">
        <v>3168413.4843567661</v>
      </c>
      <c r="N75" s="453">
        <v>767640.58475452673</v>
      </c>
    </row>
    <row r="76" spans="1:14" ht="14.5">
      <c r="A76" s="46"/>
      <c r="B76" s="724"/>
      <c r="C76" s="456"/>
      <c r="D76" s="457"/>
      <c r="E76" s="458"/>
      <c r="F76" s="458"/>
      <c r="G76" s="460"/>
      <c r="H76" s="483"/>
      <c r="I76" s="484"/>
      <c r="J76" s="485"/>
      <c r="K76" s="46"/>
      <c r="L76" s="485"/>
      <c r="M76" s="438"/>
      <c r="N76" s="439"/>
    </row>
    <row r="77" spans="1:14" ht="14.5">
      <c r="A77" s="481" t="s">
        <v>387</v>
      </c>
      <c r="B77" s="465" t="s">
        <v>1220</v>
      </c>
      <c r="C77" s="465" t="s">
        <v>865</v>
      </c>
      <c r="D77" s="466" t="s">
        <v>398</v>
      </c>
      <c r="E77" s="442">
        <v>44232</v>
      </c>
      <c r="F77" s="442">
        <v>54969</v>
      </c>
      <c r="G77" s="443">
        <v>29.416438356164385</v>
      </c>
      <c r="H77" s="444" t="s">
        <v>784</v>
      </c>
      <c r="I77" s="487"/>
      <c r="J77" s="467">
        <v>3.85E-2</v>
      </c>
      <c r="K77" s="46"/>
      <c r="L77" s="476">
        <v>885500</v>
      </c>
      <c r="M77" s="448">
        <v>129740.169708773</v>
      </c>
      <c r="N77" s="447">
        <v>31433.340450390431</v>
      </c>
    </row>
    <row r="78" spans="1:14" ht="14.5">
      <c r="A78" s="46"/>
      <c r="B78" s="724"/>
      <c r="C78" s="456"/>
      <c r="D78" s="457"/>
      <c r="E78" s="458"/>
      <c r="F78" s="458"/>
      <c r="G78" s="460"/>
      <c r="H78" s="457"/>
      <c r="I78" s="457"/>
      <c r="J78" s="480"/>
      <c r="K78" s="431"/>
      <c r="L78" s="480"/>
      <c r="M78" s="452">
        <v>129740.169708773</v>
      </c>
      <c r="N78" s="453">
        <v>31433.340450390431</v>
      </c>
    </row>
    <row r="79" spans="1:14" ht="14.5">
      <c r="A79" s="46"/>
      <c r="B79" s="724"/>
      <c r="C79" s="456"/>
      <c r="D79" s="457"/>
      <c r="E79" s="458"/>
      <c r="F79" s="458"/>
      <c r="G79" s="460"/>
      <c r="H79" s="484"/>
      <c r="I79" s="484"/>
      <c r="J79" s="451"/>
      <c r="K79" s="451"/>
      <c r="L79" s="451"/>
      <c r="M79" s="451"/>
      <c r="N79" s="451"/>
    </row>
    <row r="80" spans="1:14" ht="14.5">
      <c r="A80" s="481" t="s">
        <v>388</v>
      </c>
      <c r="B80" s="722" t="s">
        <v>1220</v>
      </c>
      <c r="C80" s="465" t="s">
        <v>1063</v>
      </c>
      <c r="D80" s="466" t="s">
        <v>394</v>
      </c>
      <c r="E80" s="442">
        <v>44403</v>
      </c>
      <c r="F80" s="442">
        <v>57161</v>
      </c>
      <c r="G80" s="443">
        <v>34.953424657534249</v>
      </c>
      <c r="H80" s="444" t="s">
        <v>784</v>
      </c>
      <c r="I80" s="487"/>
      <c r="J80" s="467">
        <v>4.4999999999999998E-2</v>
      </c>
      <c r="K80" s="46"/>
      <c r="L80" s="476">
        <v>1200000000</v>
      </c>
      <c r="M80" s="448">
        <v>4952964</v>
      </c>
      <c r="N80" s="447">
        <v>1200000</v>
      </c>
    </row>
    <row r="81" spans="1:14" ht="14.5">
      <c r="A81" s="46"/>
      <c r="B81" s="724"/>
      <c r="C81" s="456"/>
      <c r="D81" s="457"/>
      <c r="E81" s="458"/>
      <c r="F81" s="458"/>
      <c r="G81" s="460"/>
      <c r="H81" s="457"/>
      <c r="I81" s="457"/>
      <c r="J81" s="480"/>
      <c r="K81" s="431"/>
      <c r="L81" s="480"/>
      <c r="M81" s="452">
        <v>4952964</v>
      </c>
      <c r="N81" s="453">
        <v>1200000</v>
      </c>
    </row>
    <row r="82" spans="1:14" ht="14.5">
      <c r="A82" s="46"/>
      <c r="B82" s="724"/>
      <c r="C82" s="456"/>
      <c r="D82" s="457"/>
      <c r="E82" s="458"/>
      <c r="F82" s="458"/>
      <c r="G82" s="460"/>
      <c r="H82" s="484"/>
      <c r="I82" s="484"/>
      <c r="J82" s="451"/>
      <c r="K82" s="451"/>
      <c r="L82" s="451"/>
      <c r="M82" s="451"/>
      <c r="N82" s="451"/>
    </row>
    <row r="83" spans="1:14" ht="14.5">
      <c r="A83" s="46"/>
      <c r="B83" s="46"/>
      <c r="C83" s="456"/>
      <c r="D83" s="457"/>
      <c r="E83" s="458"/>
      <c r="F83" s="458"/>
      <c r="G83" s="460"/>
      <c r="H83" s="484"/>
      <c r="I83" s="484"/>
      <c r="J83" s="484"/>
      <c r="K83" s="46"/>
      <c r="L83" s="484"/>
      <c r="M83" s="438"/>
      <c r="N83" s="439"/>
    </row>
    <row r="84" spans="1:14" ht="14.5" thickBot="1">
      <c r="A84" s="787" t="s">
        <v>399</v>
      </c>
      <c r="B84" s="787"/>
      <c r="C84" s="787"/>
      <c r="D84" s="787"/>
      <c r="E84" s="787"/>
      <c r="F84" s="787"/>
      <c r="G84" s="787"/>
      <c r="H84" s="787"/>
      <c r="I84" s="680"/>
      <c r="J84" s="680"/>
      <c r="K84" s="431"/>
      <c r="L84" s="680"/>
      <c r="M84" s="488">
        <v>24798821.391131256</v>
      </c>
      <c r="N84" s="727">
        <v>6008237.8287743479</v>
      </c>
    </row>
    <row r="85" spans="1:14" ht="15" thickTop="1">
      <c r="A85" s="46"/>
      <c r="B85" s="46"/>
      <c r="C85" s="46"/>
      <c r="D85" s="46"/>
      <c r="E85" s="46"/>
      <c r="F85" s="46"/>
      <c r="G85" s="46"/>
      <c r="H85" s="46"/>
      <c r="I85" s="46"/>
      <c r="J85" s="46"/>
      <c r="K85" s="46"/>
      <c r="L85" s="46"/>
      <c r="M85" s="46"/>
      <c r="N85" s="46"/>
    </row>
    <row r="86" spans="1:14" ht="14.5">
      <c r="A86" s="489" t="s">
        <v>866</v>
      </c>
      <c r="B86" s="46"/>
      <c r="C86" s="46"/>
      <c r="D86" s="489"/>
      <c r="E86" s="489"/>
      <c r="F86" s="489"/>
      <c r="G86" s="489"/>
      <c r="H86" s="489"/>
      <c r="I86" s="489"/>
      <c r="J86" s="489"/>
      <c r="K86" s="431"/>
      <c r="L86" s="728"/>
      <c r="M86" s="490"/>
      <c r="N86" s="490"/>
    </row>
    <row r="87" spans="1:14" ht="14.5">
      <c r="A87" s="489" t="s">
        <v>867</v>
      </c>
      <c r="B87" s="46"/>
      <c r="C87" s="46"/>
      <c r="D87" s="489"/>
      <c r="E87" s="489"/>
      <c r="F87" s="489"/>
      <c r="G87" s="489"/>
      <c r="H87" s="489"/>
      <c r="I87" s="489"/>
      <c r="J87" s="489"/>
      <c r="K87" s="46"/>
      <c r="L87" s="491"/>
      <c r="M87" s="490"/>
      <c r="N87" s="46"/>
    </row>
    <row r="88" spans="1:14" ht="14.5">
      <c r="A88" s="489" t="s">
        <v>868</v>
      </c>
      <c r="B88" s="46"/>
      <c r="C88" s="46"/>
      <c r="D88" s="489"/>
      <c r="E88" s="489"/>
      <c r="F88" s="489"/>
      <c r="G88" s="489"/>
      <c r="H88" s="489"/>
      <c r="I88" s="489"/>
      <c r="J88" s="489"/>
      <c r="K88" s="431"/>
      <c r="L88" s="491"/>
      <c r="M88" s="492"/>
      <c r="N88" s="46"/>
    </row>
    <row r="89" spans="1:14" ht="14.5">
      <c r="A89" s="489" t="s">
        <v>904</v>
      </c>
      <c r="B89" s="46"/>
      <c r="C89" s="46"/>
      <c r="D89" s="46"/>
      <c r="E89" s="46"/>
      <c r="F89" s="46"/>
      <c r="G89" s="46"/>
      <c r="H89" s="46"/>
      <c r="I89" s="46"/>
      <c r="J89" s="46"/>
      <c r="K89" s="46"/>
      <c r="L89" s="491"/>
      <c r="M89" s="46"/>
      <c r="N89" s="46"/>
    </row>
    <row r="90" spans="1:14" ht="14.5">
      <c r="A90" s="46"/>
      <c r="B90" s="46"/>
      <c r="C90" s="46"/>
      <c r="D90" s="489"/>
      <c r="E90" s="489"/>
      <c r="F90" s="489"/>
      <c r="G90" s="46"/>
      <c r="H90" s="46"/>
      <c r="I90" s="46"/>
      <c r="J90" s="46"/>
      <c r="K90" s="431"/>
      <c r="L90" s="491"/>
      <c r="M90" s="495"/>
      <c r="N90" s="496"/>
    </row>
    <row r="91" spans="1:14" ht="14.5">
      <c r="A91" s="46"/>
      <c r="B91" s="46"/>
      <c r="C91" s="496"/>
      <c r="D91" s="46"/>
      <c r="E91" s="489"/>
      <c r="F91" s="489"/>
      <c r="G91" s="46"/>
      <c r="H91" s="46"/>
      <c r="I91" s="46"/>
      <c r="J91" s="46"/>
      <c r="K91" s="46"/>
      <c r="L91" s="495"/>
      <c r="M91" s="46"/>
      <c r="N91" s="46"/>
    </row>
    <row r="92" spans="1:14" ht="14.5">
      <c r="A92" s="46"/>
      <c r="B92" s="46"/>
      <c r="C92" s="46"/>
      <c r="D92" s="46"/>
      <c r="E92" s="46"/>
      <c r="F92" s="46"/>
      <c r="G92" s="46"/>
      <c r="H92" s="46"/>
      <c r="I92" s="46"/>
      <c r="J92" s="46"/>
      <c r="K92" s="46"/>
      <c r="L92" s="46"/>
      <c r="M92" s="46"/>
      <c r="N92" s="46"/>
    </row>
    <row r="93" spans="1:14" ht="14.5">
      <c r="A93" s="46"/>
      <c r="B93" s="46"/>
      <c r="C93" s="46"/>
      <c r="D93" s="46"/>
      <c r="E93" s="46"/>
      <c r="F93" s="46"/>
      <c r="G93" s="46"/>
      <c r="H93" s="46"/>
      <c r="I93" s="46"/>
      <c r="J93" s="46"/>
      <c r="K93" s="46"/>
      <c r="L93" s="46"/>
      <c r="M93" s="46"/>
      <c r="N93" s="46"/>
    </row>
    <row r="94" spans="1:14" ht="14.5">
      <c r="A94" s="46"/>
      <c r="B94" s="46"/>
      <c r="C94" s="46"/>
      <c r="D94" s="46"/>
      <c r="E94" s="46"/>
      <c r="F94" s="46"/>
      <c r="G94" s="46"/>
      <c r="H94" s="46"/>
      <c r="I94" s="46"/>
      <c r="J94" s="46"/>
      <c r="K94" s="46"/>
      <c r="L94" s="46"/>
      <c r="M94" s="46"/>
      <c r="N94" s="46"/>
    </row>
    <row r="95" spans="1:14" ht="14.5">
      <c r="A95" s="46"/>
      <c r="B95" s="46"/>
      <c r="C95" s="46"/>
      <c r="D95" s="46"/>
      <c r="E95" s="46"/>
      <c r="F95" s="46"/>
      <c r="G95" s="46"/>
      <c r="H95" s="46"/>
      <c r="I95" s="46"/>
      <c r="J95" s="46"/>
      <c r="K95" s="46"/>
      <c r="L95" s="46"/>
      <c r="M95" s="46"/>
      <c r="N95" s="46"/>
    </row>
    <row r="96" spans="1:14" ht="14.5">
      <c r="A96" s="46"/>
      <c r="B96" s="46"/>
      <c r="C96" s="46"/>
      <c r="D96" s="46"/>
      <c r="E96" s="46"/>
      <c r="F96" s="46"/>
      <c r="G96" s="46"/>
      <c r="H96" s="46"/>
      <c r="I96" s="46"/>
      <c r="J96" s="46"/>
      <c r="K96" s="46"/>
      <c r="L96" s="46"/>
      <c r="M96" s="46"/>
      <c r="N96" s="46"/>
    </row>
    <row r="97" spans="1:14" ht="14.5">
      <c r="A97" s="46"/>
      <c r="B97" s="46"/>
      <c r="C97" s="46"/>
      <c r="D97" s="46"/>
      <c r="E97" s="46"/>
      <c r="F97" s="46"/>
      <c r="G97" s="46"/>
      <c r="H97" s="46"/>
      <c r="I97" s="46"/>
      <c r="J97" s="46"/>
      <c r="K97" s="46"/>
      <c r="L97" s="46"/>
      <c r="M97" s="46"/>
      <c r="N97" s="46"/>
    </row>
    <row r="98" spans="1:14" ht="14.5">
      <c r="A98" s="46"/>
      <c r="B98" s="46"/>
      <c r="C98" s="46"/>
      <c r="D98" s="46"/>
      <c r="E98" s="46"/>
      <c r="F98" s="46"/>
      <c r="G98" s="46"/>
      <c r="H98" s="46"/>
      <c r="I98" s="46"/>
      <c r="J98" s="46"/>
      <c r="K98" s="46"/>
      <c r="L98" s="46"/>
      <c r="M98" s="46"/>
      <c r="N98" s="46"/>
    </row>
  </sheetData>
  <mergeCells count="8">
    <mergeCell ref="A84:H84"/>
    <mergeCell ref="H3:J3"/>
    <mergeCell ref="A7:A27"/>
    <mergeCell ref="A31:A32"/>
    <mergeCell ref="A40:A45"/>
    <mergeCell ref="A48:A49"/>
    <mergeCell ref="A54:A63"/>
    <mergeCell ref="A69:A74"/>
  </mergeCells>
  <hyperlinks>
    <hyperlink ref="A1" location="Contenido!A1" display="Volver al Contenido" xr:uid="{B5253B32-869F-4173-A932-E2D36AE288FD}"/>
  </hyperlinks>
  <pageMargins left="0.7" right="0.7" top="0.75" bottom="0.75" header="0.3" footer="0.3"/>
  <pageSetup orientation="portrait" horizontalDpi="4294967295" verticalDpi="4294967295"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41101-917A-473A-AFAE-67196CD6258A}">
  <dimension ref="A1:Z20"/>
  <sheetViews>
    <sheetView showGridLines="0" workbookViewId="0"/>
  </sheetViews>
  <sheetFormatPr baseColWidth="10" defaultRowHeight="14.5"/>
  <cols>
    <col min="1" max="1" width="10" customWidth="1"/>
    <col min="2" max="2" width="23.36328125" style="46" bestFit="1" customWidth="1"/>
    <col min="3" max="26" width="6.6328125" customWidth="1"/>
  </cols>
  <sheetData>
    <row r="1" spans="1:26" ht="15.5">
      <c r="A1" s="699" t="s">
        <v>16</v>
      </c>
      <c r="B1" s="699"/>
    </row>
    <row r="3" spans="1:26" s="46" customFormat="1"/>
    <row r="4" spans="1:26">
      <c r="A4" s="752"/>
      <c r="B4" s="760"/>
      <c r="C4" s="753">
        <f>+[34]PerfilD!E83</f>
        <v>2022</v>
      </c>
      <c r="D4" s="753">
        <f>+[34]PerfilD!F83</f>
        <v>2023</v>
      </c>
      <c r="E4" s="753">
        <f>+[34]PerfilD!G83</f>
        <v>2024</v>
      </c>
      <c r="F4" s="753">
        <f>+[34]PerfilD!H83</f>
        <v>2025</v>
      </c>
      <c r="G4" s="753">
        <f>+[34]PerfilD!I83</f>
        <v>2026</v>
      </c>
      <c r="H4" s="753">
        <f>+[34]PerfilD!J83</f>
        <v>2027</v>
      </c>
      <c r="I4" s="753">
        <f>+[34]PerfilD!K83</f>
        <v>2028</v>
      </c>
      <c r="J4" s="753">
        <f>+[34]PerfilD!L83</f>
        <v>2029</v>
      </c>
      <c r="K4" s="753">
        <f>+[34]PerfilD!M83</f>
        <v>2030</v>
      </c>
      <c r="L4" s="753">
        <f>+[34]PerfilD!N83</f>
        <v>2031</v>
      </c>
      <c r="M4" s="753">
        <f>+[34]PerfilD!O83</f>
        <v>2032</v>
      </c>
      <c r="N4" s="753">
        <f>+[34]PerfilD!P83</f>
        <v>2033</v>
      </c>
      <c r="O4" s="753">
        <f>+[34]PerfilD!Q83</f>
        <v>2034</v>
      </c>
      <c r="P4" s="753">
        <f>+[34]PerfilD!R83</f>
        <v>2035</v>
      </c>
      <c r="Q4" s="753" t="str">
        <f>+[34]PerfilD!S83</f>
        <v>…</v>
      </c>
      <c r="R4" s="753">
        <f>+[34]PerfilD!T83</f>
        <v>2041</v>
      </c>
      <c r="S4" s="753">
        <f>+[34]PerfilD!U83</f>
        <v>2042</v>
      </c>
      <c r="T4" s="753" t="str">
        <f>+[34]PerfilD!V83</f>
        <v>…</v>
      </c>
      <c r="U4" s="753">
        <f>+[34]PerfilD!W83</f>
        <v>2047</v>
      </c>
      <c r="V4" s="753">
        <f>+[34]PerfilD!X83</f>
        <v>2048</v>
      </c>
      <c r="W4" s="753" t="str">
        <f>+[34]PerfilD!Y83</f>
        <v>…</v>
      </c>
      <c r="X4" s="753">
        <f>+[34]PerfilD!Z83</f>
        <v>2054</v>
      </c>
      <c r="Y4" s="753">
        <f>+[34]PerfilD!AA83</f>
        <v>2055</v>
      </c>
      <c r="Z4" s="753">
        <f>+[34]PerfilD!AB83</f>
        <v>2056</v>
      </c>
    </row>
    <row r="5" spans="1:26">
      <c r="A5" s="754" t="str">
        <f>+[34]PerfilD!$C$97</f>
        <v>Colombia</v>
      </c>
      <c r="B5" s="755" t="s">
        <v>1247</v>
      </c>
      <c r="C5" s="756">
        <f>+[34]PerfilD!E97</f>
        <v>3.218794125664667</v>
      </c>
      <c r="D5" s="756">
        <f>+[34]PerfilD!F97</f>
        <v>75.889110599751348</v>
      </c>
      <c r="E5" s="756">
        <f>+[34]PerfilD!G97</f>
        <v>116.31895425888565</v>
      </c>
      <c r="F5" s="756">
        <f>+[34]PerfilD!H97</f>
        <v>97.937491914888042</v>
      </c>
      <c r="G5" s="756">
        <f>+[34]PerfilD!I97</f>
        <v>65.012392731019929</v>
      </c>
      <c r="H5" s="756">
        <f>+[34]PerfilD!J97</f>
        <v>75.444187308531099</v>
      </c>
      <c r="I5" s="756">
        <f>+[34]PerfilD!K97</f>
        <v>118.68309505638832</v>
      </c>
      <c r="J5" s="756">
        <f>+[34]PerfilD!L97</f>
        <v>85.477702134792068</v>
      </c>
      <c r="K5" s="756">
        <f>+[34]PerfilD!M97</f>
        <v>79.207307047828508</v>
      </c>
      <c r="L5" s="756">
        <f>+[34]PerfilD!N97</f>
        <v>193.71695213726201</v>
      </c>
      <c r="M5" s="756">
        <f>+[34]PerfilD!O97</f>
        <v>204.11451886803343</v>
      </c>
      <c r="N5" s="756">
        <f>+[34]PerfilD!P97</f>
        <v>200.14425345198259</v>
      </c>
      <c r="O5" s="756">
        <f>+[34]PerfilD!Q97</f>
        <v>48.629733330178759</v>
      </c>
      <c r="P5" s="756">
        <f>+[34]PerfilD!R97</f>
        <v>68.892769351963523</v>
      </c>
      <c r="Q5" s="756">
        <f>+[34]PerfilD!S97</f>
        <v>38.1925382154201</v>
      </c>
      <c r="R5" s="756">
        <f>+[34]PerfilD!T97</f>
        <v>61.29662965448567</v>
      </c>
      <c r="S5" s="756">
        <f>+[34]PerfilD!U97</f>
        <v>58.854455635050037</v>
      </c>
      <c r="T5" s="756">
        <f>+[34]PerfilD!V97</f>
        <v>48.803988884231735</v>
      </c>
      <c r="U5" s="756">
        <f>+[34]PerfilD!W97</f>
        <v>55.680598526458091</v>
      </c>
      <c r="V5" s="756">
        <f>+[34]PerfilD!X97</f>
        <v>0</v>
      </c>
      <c r="W5" s="756">
        <f>+[34]PerfilD!Y97</f>
        <v>0</v>
      </c>
      <c r="X5" s="756">
        <f>+[34]PerfilD!Z97</f>
        <v>0</v>
      </c>
      <c r="Y5" s="756">
        <f>+[34]PerfilD!AA97</f>
        <v>0</v>
      </c>
      <c r="Z5" s="756">
        <f>+[34]PerfilD!AB97</f>
        <v>0</v>
      </c>
    </row>
    <row r="6" spans="1:26">
      <c r="A6" s="754"/>
      <c r="B6" s="755" t="s">
        <v>1248</v>
      </c>
      <c r="C6" s="756">
        <f>+[34]PerfilD!E98</f>
        <v>13.285476189857143</v>
      </c>
      <c r="D6" s="756">
        <f>+[34]PerfilD!F98</f>
        <v>313.23002732715571</v>
      </c>
      <c r="E6" s="756">
        <f>+[34]PerfilD!G98</f>
        <v>480.10299413492282</v>
      </c>
      <c r="F6" s="756">
        <f>+[34]PerfilD!H98</f>
        <v>404.23405975394303</v>
      </c>
      <c r="G6" s="756">
        <f>+[34]PerfilD!I98</f>
        <v>268.33670062550283</v>
      </c>
      <c r="H6" s="756">
        <f>+[34]PerfilD!J98</f>
        <v>311.39361979034288</v>
      </c>
      <c r="I6" s="756">
        <f>+[34]PerfilD!K98</f>
        <v>489.86091435239115</v>
      </c>
      <c r="J6" s="756">
        <f>+[34]PerfilD!L98</f>
        <v>352.80665123029024</v>
      </c>
      <c r="K6" s="756">
        <f>+[34]PerfilD!M98</f>
        <v>326.92578362070077</v>
      </c>
      <c r="L6" s="756">
        <f>+[34]PerfilD!N98</f>
        <v>799.56090843798484</v>
      </c>
      <c r="M6" s="756">
        <f>+[34]PerfilD!O98</f>
        <v>842.47655319224191</v>
      </c>
      <c r="N6" s="756">
        <f>+[34]PerfilD!P98</f>
        <v>826.08940179545471</v>
      </c>
      <c r="O6" s="756">
        <f>+[34]PerfilD!Q98</f>
        <v>200.71776542831293</v>
      </c>
      <c r="P6" s="756">
        <f>+[34]PerfilD!R98</f>
        <v>284.35283871714887</v>
      </c>
      <c r="Q6" s="756">
        <f>+[34]PerfilD!S98</f>
        <v>157.63855570800001</v>
      </c>
      <c r="R6" s="756">
        <f>+[34]PerfilD!T98</f>
        <v>252.99999999999997</v>
      </c>
      <c r="S6" s="756">
        <f>+[34]PerfilD!U98</f>
        <v>242.92</v>
      </c>
      <c r="T6" s="756">
        <f>+[34]PerfilD!V98</f>
        <v>201.43699999999998</v>
      </c>
      <c r="U6" s="756">
        <f>+[34]PerfilD!W98</f>
        <v>229.82</v>
      </c>
      <c r="V6" s="756">
        <f>+[34]PerfilD!X98</f>
        <v>0</v>
      </c>
      <c r="W6" s="756">
        <f>+[34]PerfilD!Y98</f>
        <v>0</v>
      </c>
      <c r="X6" s="756">
        <f>+[34]PerfilD!Z98</f>
        <v>0</v>
      </c>
      <c r="Y6" s="756">
        <f>+[34]PerfilD!AA98</f>
        <v>0</v>
      </c>
      <c r="Z6" s="756">
        <f>+[34]PerfilD!AB98</f>
        <v>0</v>
      </c>
    </row>
    <row r="8" spans="1:26" s="46" customFormat="1">
      <c r="A8" s="754" t="s">
        <v>406</v>
      </c>
      <c r="B8" s="755" t="s">
        <v>1247</v>
      </c>
      <c r="C8" s="756">
        <f>+[34]PerfilD!E115</f>
        <v>116.53419536076937</v>
      </c>
      <c r="D8" s="756">
        <f>+[34]PerfilD!F115</f>
        <v>60.2277266346372</v>
      </c>
      <c r="E8" s="756">
        <f>+[34]PerfilD!G115</f>
        <v>37.285320493333337</v>
      </c>
      <c r="F8" s="756">
        <f>+[34]PerfilD!H115</f>
        <v>36.00357961000001</v>
      </c>
      <c r="G8" s="756">
        <f>+[34]PerfilD!I115</f>
        <v>104.85945478579725</v>
      </c>
      <c r="H8" s="756">
        <f>+[34]PerfilD!J115</f>
        <v>0.54974155000000002</v>
      </c>
      <c r="I8" s="756">
        <f>+[34]PerfilD!K115</f>
        <v>0</v>
      </c>
      <c r="J8" s="756">
        <f>+[34]PerfilD!L115</f>
        <v>0</v>
      </c>
      <c r="K8" s="756">
        <f>+[34]PerfilD!M115</f>
        <v>133.33333333333331</v>
      </c>
      <c r="L8" s="756">
        <f>+[34]PerfilD!N115</f>
        <v>173.33333333333331</v>
      </c>
      <c r="M8" s="756">
        <f>+[34]PerfilD!O115</f>
        <v>133.33333333333331</v>
      </c>
      <c r="N8" s="756">
        <f>+[34]PerfilD!P115</f>
        <v>133.33333333333331</v>
      </c>
      <c r="O8" s="756">
        <f>+[34]PerfilD!Q115</f>
        <v>129.16666666666663</v>
      </c>
      <c r="P8" s="756">
        <f>+[34]PerfilD!R115</f>
        <v>125</v>
      </c>
      <c r="Q8" s="756">
        <f>+[34]PerfilD!S115</f>
        <v>312.5</v>
      </c>
      <c r="R8" s="756">
        <f>+[34]PerfilD!T115</f>
        <v>0</v>
      </c>
      <c r="S8" s="756">
        <f>+[34]PerfilD!U115</f>
        <v>0</v>
      </c>
      <c r="T8" s="756">
        <f>+[34]PerfilD!V115</f>
        <v>0</v>
      </c>
      <c r="U8" s="756">
        <f>+[34]PerfilD!W115</f>
        <v>0</v>
      </c>
      <c r="V8" s="756">
        <f>+[34]PerfilD!X115</f>
        <v>0</v>
      </c>
      <c r="W8" s="756">
        <f>+[34]PerfilD!Y115</f>
        <v>0</v>
      </c>
      <c r="X8" s="756">
        <f>+[34]PerfilD!Z115</f>
        <v>0</v>
      </c>
      <c r="Y8" s="756">
        <f>+[34]PerfilD!AA115</f>
        <v>0</v>
      </c>
      <c r="Z8" s="756">
        <f>+[34]PerfilD!AB115</f>
        <v>0</v>
      </c>
    </row>
    <row r="9" spans="1:26" s="46" customFormat="1">
      <c r="A9" s="754"/>
      <c r="B9" s="755" t="s">
        <v>1248</v>
      </c>
      <c r="C9" s="756">
        <f>+[34]PerfilD!E116</f>
        <v>480.99139532571479</v>
      </c>
      <c r="D9" s="756">
        <f>+[34]PerfilD!F116</f>
        <v>248.58813485266603</v>
      </c>
      <c r="E9" s="756">
        <f>+[34]PerfilD!G116</f>
        <v>153.89404177661856</v>
      </c>
      <c r="F9" s="756">
        <f>+[34]PerfilD!H116</f>
        <v>148.60369473288674</v>
      </c>
      <c r="G9" s="756">
        <f>+[34]PerfilD!I116</f>
        <v>432.8042538447346</v>
      </c>
      <c r="H9" s="756">
        <f>+[34]PerfilD!J116</f>
        <v>2.2690417553784998</v>
      </c>
      <c r="I9" s="756">
        <f>+[34]PerfilD!K116</f>
        <v>0</v>
      </c>
      <c r="J9" s="756">
        <f>+[34]PerfilD!L116</f>
        <v>0</v>
      </c>
      <c r="K9" s="756">
        <f>+[34]PerfilD!M116</f>
        <v>550.32933333333324</v>
      </c>
      <c r="L9" s="756">
        <f>+[34]PerfilD!N116</f>
        <v>715.42813333333334</v>
      </c>
      <c r="M9" s="756">
        <f>+[34]PerfilD!O116</f>
        <v>550.32933333333324</v>
      </c>
      <c r="N9" s="756">
        <f>+[34]PerfilD!P116</f>
        <v>550.32933333333324</v>
      </c>
      <c r="O9" s="756">
        <f>+[34]PerfilD!Q116</f>
        <v>533.13154166666652</v>
      </c>
      <c r="P9" s="756">
        <f>+[34]PerfilD!R116</f>
        <v>515.93375000000003</v>
      </c>
      <c r="Q9" s="756">
        <f>+[34]PerfilD!S116</f>
        <v>1289.8343749999999</v>
      </c>
      <c r="R9" s="756">
        <f>+[34]PerfilD!T116</f>
        <v>0</v>
      </c>
      <c r="S9" s="756">
        <f>+[34]PerfilD!U116</f>
        <v>0</v>
      </c>
      <c r="T9" s="756">
        <f>+[34]PerfilD!V116</f>
        <v>0</v>
      </c>
      <c r="U9" s="756">
        <f>+[34]PerfilD!W116</f>
        <v>0</v>
      </c>
      <c r="V9" s="756">
        <f>+[34]PerfilD!X116</f>
        <v>0</v>
      </c>
      <c r="W9" s="756">
        <f>+[34]PerfilD!Y116</f>
        <v>0</v>
      </c>
      <c r="X9" s="756">
        <f>+[34]PerfilD!Z116</f>
        <v>0</v>
      </c>
      <c r="Y9" s="756">
        <f>+[34]PerfilD!AA116</f>
        <v>0</v>
      </c>
      <c r="Z9" s="756">
        <f>+[34]PerfilD!AB116</f>
        <v>0</v>
      </c>
    </row>
    <row r="11" spans="1:26" s="46" customFormat="1">
      <c r="A11" s="754" t="s">
        <v>408</v>
      </c>
      <c r="B11" s="755" t="s">
        <v>1247</v>
      </c>
      <c r="C11" s="756">
        <f>+[34]PerfilD!E134</f>
        <v>25.598402496681953</v>
      </c>
      <c r="D11" s="756">
        <f>+[34]PerfilD!F134</f>
        <v>35.892559630992871</v>
      </c>
      <c r="E11" s="756">
        <f>+[34]PerfilD!G134</f>
        <v>334.64142242814302</v>
      </c>
      <c r="F11" s="756">
        <f>+[34]PerfilD!H134</f>
        <v>178.02883577693464</v>
      </c>
      <c r="G11" s="756">
        <f>+[34]PerfilD!I134</f>
        <v>74.808737680585949</v>
      </c>
      <c r="H11" s="756">
        <f>+[34]PerfilD!J134</f>
        <v>149.68745984693999</v>
      </c>
      <c r="I11" s="756">
        <f>+[34]PerfilD!K134</f>
        <v>149.65137383580893</v>
      </c>
      <c r="J11" s="756">
        <f>+[34]PerfilD!L134</f>
        <v>96.676661328653296</v>
      </c>
      <c r="K11" s="756">
        <f>+[34]PerfilD!M134</f>
        <v>20.117751559884251</v>
      </c>
      <c r="L11" s="756">
        <f>+[34]PerfilD!N134</f>
        <v>153.10377418051863</v>
      </c>
      <c r="M11" s="756">
        <f>+[34]PerfilD!O134</f>
        <v>33.925114255665754</v>
      </c>
      <c r="N11" s="756">
        <f>+[34]PerfilD!P134</f>
        <v>14.331296986152102</v>
      </c>
      <c r="O11" s="756">
        <f>+[34]PerfilD!Q134</f>
        <v>14.331296986152102</v>
      </c>
      <c r="P11" s="756">
        <f>+[34]PerfilD!R134</f>
        <v>14.331296986152102</v>
      </c>
      <c r="Q11" s="756">
        <f>+[34]PerfilD!S134</f>
        <v>129.24423649624367</v>
      </c>
      <c r="R11" s="756">
        <f>+[34]PerfilD!T134</f>
        <v>14.331296986151953</v>
      </c>
      <c r="S11" s="756">
        <f>+[34]PerfilD!U134</f>
        <v>12.099733977632322</v>
      </c>
      <c r="T11" s="756">
        <f>+[34]PerfilD!V134</f>
        <v>73.206157610885427</v>
      </c>
      <c r="U11" s="756">
        <f>+[34]PerfilD!W134</f>
        <v>0</v>
      </c>
      <c r="V11" s="756">
        <f>+[34]PerfilD!X134</f>
        <v>0</v>
      </c>
      <c r="W11" s="756">
        <f>+[34]PerfilD!Y134</f>
        <v>0</v>
      </c>
      <c r="X11" s="756">
        <f>+[34]PerfilD!Z134</f>
        <v>0</v>
      </c>
      <c r="Y11" s="756">
        <f>+[34]PerfilD!AA134</f>
        <v>0</v>
      </c>
      <c r="Z11" s="756">
        <f>+[34]PerfilD!AB134</f>
        <v>0</v>
      </c>
    </row>
    <row r="12" spans="1:26" s="46" customFormat="1">
      <c r="A12" s="754"/>
      <c r="B12" s="755" t="s">
        <v>1248</v>
      </c>
      <c r="C12" s="756">
        <f>+[34]PerfilD!E135</f>
        <v>105.65663835297987</v>
      </c>
      <c r="D12" s="756">
        <f>+[34]PerfilD!F135</f>
        <v>148.14546310013415</v>
      </c>
      <c r="E12" s="756">
        <f>+[34]PerfilD!G135</f>
        <v>1381.2224318294875</v>
      </c>
      <c r="F12" s="756">
        <f>+[34]PerfilD!H135</f>
        <v>734.80867880422443</v>
      </c>
      <c r="G12" s="756">
        <f>+[34]PerfilD!I135</f>
        <v>308.77082051448809</v>
      </c>
      <c r="H12" s="756">
        <f>+[34]PerfilD!J135</f>
        <v>617.83049989444942</v>
      </c>
      <c r="I12" s="756">
        <f>+[34]PerfilD!K135</f>
        <v>617.68155596608631</v>
      </c>
      <c r="J12" s="756">
        <f>+[34]PerfilD!L135</f>
        <v>399.0300193341767</v>
      </c>
      <c r="K12" s="756">
        <f>+[34]PerfilD!M135</f>
        <v>83.035416030875453</v>
      </c>
      <c r="L12" s="756">
        <f>+[34]PerfilD!N135</f>
        <v>631.9312348168653</v>
      </c>
      <c r="M12" s="756">
        <f>+[34]PerfilD!O135</f>
        <v>140.02489133683275</v>
      </c>
      <c r="N12" s="756">
        <f>+[34]PerfilD!P135</f>
        <v>59.151998371433223</v>
      </c>
      <c r="O12" s="756">
        <f>+[34]PerfilD!Q135</f>
        <v>59.151998371433223</v>
      </c>
      <c r="P12" s="756">
        <f>+[34]PerfilD!R135</f>
        <v>59.151998371433223</v>
      </c>
      <c r="Q12" s="756">
        <f>+[34]PerfilD!S135</f>
        <v>533.45170881115087</v>
      </c>
      <c r="R12" s="756">
        <f>+[34]PerfilD!T135</f>
        <v>59.151998371432612</v>
      </c>
      <c r="S12" s="756">
        <f>+[34]PerfilD!U135</f>
        <v>49.941289000658088</v>
      </c>
      <c r="T12" s="756">
        <f>+[34]PerfilD!V135</f>
        <v>302.15621935420126</v>
      </c>
      <c r="U12" s="756">
        <f>+[34]PerfilD!W135</f>
        <v>0</v>
      </c>
      <c r="V12" s="756">
        <f>+[34]PerfilD!X135</f>
        <v>0</v>
      </c>
      <c r="W12" s="756">
        <f>+[34]PerfilD!Y135</f>
        <v>0</v>
      </c>
      <c r="X12" s="756">
        <f>+[34]PerfilD!Z135</f>
        <v>0</v>
      </c>
      <c r="Y12" s="756">
        <f>+[34]PerfilD!AA135</f>
        <v>0</v>
      </c>
      <c r="Z12" s="756">
        <f>+[34]PerfilD!AB135</f>
        <v>0</v>
      </c>
    </row>
    <row r="14" spans="1:26" s="46" customFormat="1">
      <c r="A14" s="754" t="s">
        <v>412</v>
      </c>
      <c r="B14" s="755" t="s">
        <v>1247</v>
      </c>
      <c r="C14" s="756">
        <f>+[34]PerfilD!E159</f>
        <v>41.161630733529464</v>
      </c>
      <c r="D14" s="756">
        <f>+[34]PerfilD!F159</f>
        <v>137.60093246256912</v>
      </c>
      <c r="E14" s="756">
        <f>+[34]PerfilD!G159</f>
        <v>146.00773401180979</v>
      </c>
      <c r="F14" s="756">
        <f>+[34]PerfilD!H159</f>
        <v>128.78051692444151</v>
      </c>
      <c r="G14" s="756">
        <f>+[34]PerfilD!I159</f>
        <v>130.30392710988426</v>
      </c>
      <c r="H14" s="756">
        <f>+[34]PerfilD!J159</f>
        <v>113.19076273471882</v>
      </c>
      <c r="I14" s="756">
        <f>+[34]PerfilD!K159</f>
        <v>113.01868015141626</v>
      </c>
      <c r="J14" s="756">
        <f>+[34]PerfilD!L159</f>
        <v>101.6355799690205</v>
      </c>
      <c r="K14" s="756">
        <f>+[34]PerfilD!M159</f>
        <v>99.220692549242031</v>
      </c>
      <c r="L14" s="756">
        <f>+[34]PerfilD!N159</f>
        <v>7.8479859989656022</v>
      </c>
      <c r="M14" s="756">
        <f>+[34]PerfilD!O159</f>
        <v>9.310710283727655</v>
      </c>
      <c r="N14" s="756">
        <f>+[34]PerfilD!P159</f>
        <v>11.096984489478647</v>
      </c>
      <c r="O14" s="756">
        <f>+[34]PerfilD!Q159</f>
        <v>13.868638272878167</v>
      </c>
      <c r="P14" s="756">
        <f>+[34]PerfilD!R159</f>
        <v>15.414802778834101</v>
      </c>
      <c r="Q14" s="756">
        <f>+[34]PerfilD!S159</f>
        <v>145.41296363901367</v>
      </c>
      <c r="R14" s="756">
        <f>+[34]PerfilD!T159</f>
        <v>51.296277906543651</v>
      </c>
      <c r="S14" s="756">
        <f>+[34]PerfilD!U159</f>
        <v>64.415210207152995</v>
      </c>
      <c r="T14" s="756">
        <f>+[34]PerfilD!V159</f>
        <v>287.22406969336214</v>
      </c>
      <c r="U14" s="756">
        <f>+[34]PerfilD!W159</f>
        <v>76.441316987618933</v>
      </c>
      <c r="V14" s="756">
        <f>+[34]PerfilD!X159</f>
        <v>78.714487436932131</v>
      </c>
      <c r="W14" s="756">
        <f>+[34]PerfilD!Y159</f>
        <v>434.61375281073845</v>
      </c>
      <c r="X14" s="756">
        <f>+[34]PerfilD!Z159</f>
        <v>35.118000000000002</v>
      </c>
      <c r="Y14" s="756">
        <f>+[34]PerfilD!AA159</f>
        <v>18.396000000000001</v>
      </c>
      <c r="Z14" s="756">
        <f>+[34]PerfilD!AB159</f>
        <v>8.7959999999999994</v>
      </c>
    </row>
    <row r="15" spans="1:26" s="46" customFormat="1">
      <c r="A15" s="754"/>
      <c r="B15" s="755" t="s">
        <v>1248</v>
      </c>
      <c r="C15" s="756">
        <f>+[34]PerfilD!E160</f>
        <v>169.89339600372088</v>
      </c>
      <c r="D15" s="756">
        <f>+[34]PerfilD!F160</f>
        <v>567.94372071128021</v>
      </c>
      <c r="E15" s="756">
        <f>+[34]PerfilD!G160</f>
        <v>602.64254190172448</v>
      </c>
      <c r="F15" s="756">
        <f>+[34]PerfilD!H160</f>
        <v>531.53772019012467</v>
      </c>
      <c r="G15" s="756">
        <f>+[34]PerfilD!I160</f>
        <v>537.82555002823403</v>
      </c>
      <c r="H15" s="756">
        <f>+[34]PerfilD!J160</f>
        <v>467.1914774646699</v>
      </c>
      <c r="I15" s="756">
        <f>+[34]PerfilD!K160</f>
        <v>466.48121176456613</v>
      </c>
      <c r="J15" s="756">
        <f>+[34]PerfilD!L160</f>
        <v>419.49780725473306</v>
      </c>
      <c r="K15" s="756">
        <f>+[34]PerfilD!M160</f>
        <v>409.53043187622006</v>
      </c>
      <c r="L15" s="756">
        <f>+[34]PerfilD!N160</f>
        <v>32.392326771150557</v>
      </c>
      <c r="M15" s="756">
        <f>+[34]PerfilD!O160</f>
        <v>38.429677374777384</v>
      </c>
      <c r="N15" s="756">
        <f>+[34]PerfilD!P160</f>
        <v>45.802470570788437</v>
      </c>
      <c r="O15" s="756">
        <f>+[34]PerfilD!Q160</f>
        <v>57.242388412156451</v>
      </c>
      <c r="P15" s="756">
        <f>+[34]PerfilD!R160</f>
        <v>63.624136025554392</v>
      </c>
      <c r="Q15" s="756">
        <f>+[34]PerfilD!S160</f>
        <v>600.18764503111981</v>
      </c>
      <c r="R15" s="756">
        <f>+[34]PerfilD!T160</f>
        <v>211.72384817092174</v>
      </c>
      <c r="S15" s="756">
        <f>+[34]PerfilD!U160</f>
        <v>265.87184767371775</v>
      </c>
      <c r="T15" s="756">
        <f>+[34]PerfilD!V160</f>
        <v>1185.5087309372616</v>
      </c>
      <c r="U15" s="756">
        <f>+[34]PerfilD!W160</f>
        <v>315.5092426268875</v>
      </c>
      <c r="V15" s="756">
        <f>+[34]PerfilD!X160</f>
        <v>324.8916854613143</v>
      </c>
      <c r="W15" s="756">
        <f>+[34]PerfilD!Y160</f>
        <v>1793.8552263137385</v>
      </c>
      <c r="X15" s="756">
        <f>+[34]PerfilD!Z160</f>
        <v>144.94849146000001</v>
      </c>
      <c r="Y15" s="756">
        <f>+[34]PerfilD!AA160</f>
        <v>75.928938120000012</v>
      </c>
      <c r="Z15" s="756">
        <f>+[34]PerfilD!AB160</f>
        <v>36.30522612</v>
      </c>
    </row>
    <row r="17" spans="1:26" s="759" customFormat="1">
      <c r="A17" s="757" t="s">
        <v>411</v>
      </c>
      <c r="B17" s="758" t="s">
        <v>1249</v>
      </c>
      <c r="C17" s="819">
        <f>+C5+C8+C11+C14</f>
        <v>186.51302271664548</v>
      </c>
      <c r="D17" s="819">
        <f t="shared" ref="D17:Z17" si="0">+D5+D8+D11+D14</f>
        <v>309.61032932795058</v>
      </c>
      <c r="E17" s="819">
        <f t="shared" si="0"/>
        <v>634.25343119217177</v>
      </c>
      <c r="F17" s="819">
        <f t="shared" si="0"/>
        <v>440.75042422626416</v>
      </c>
      <c r="G17" s="819">
        <f t="shared" si="0"/>
        <v>374.98451230728739</v>
      </c>
      <c r="H17" s="819">
        <f t="shared" si="0"/>
        <v>338.8721514401899</v>
      </c>
      <c r="I17" s="819">
        <f t="shared" si="0"/>
        <v>381.35314904361354</v>
      </c>
      <c r="J17" s="819">
        <f t="shared" si="0"/>
        <v>283.78994343246586</v>
      </c>
      <c r="K17" s="819">
        <f t="shared" si="0"/>
        <v>331.87908449028811</v>
      </c>
      <c r="L17" s="819">
        <f t="shared" si="0"/>
        <v>528.00204565007948</v>
      </c>
      <c r="M17" s="819">
        <f t="shared" si="0"/>
        <v>380.68367674076012</v>
      </c>
      <c r="N17" s="819">
        <f t="shared" si="0"/>
        <v>358.90586826094665</v>
      </c>
      <c r="O17" s="819">
        <f t="shared" si="0"/>
        <v>205.99633525587566</v>
      </c>
      <c r="P17" s="819">
        <f t="shared" si="0"/>
        <v>223.63886911694971</v>
      </c>
      <c r="Q17" s="819">
        <f t="shared" si="0"/>
        <v>625.3497383506774</v>
      </c>
      <c r="R17" s="819">
        <f t="shared" si="0"/>
        <v>126.92420454718128</v>
      </c>
      <c r="S17" s="819">
        <f t="shared" si="0"/>
        <v>135.36939981983534</v>
      </c>
      <c r="T17" s="819">
        <f t="shared" si="0"/>
        <v>409.23421618847931</v>
      </c>
      <c r="U17" s="819">
        <f t="shared" si="0"/>
        <v>132.12191551407702</v>
      </c>
      <c r="V17" s="819">
        <f t="shared" si="0"/>
        <v>78.714487436932131</v>
      </c>
      <c r="W17" s="819">
        <f t="shared" si="0"/>
        <v>434.61375281073845</v>
      </c>
      <c r="X17" s="819">
        <f t="shared" si="0"/>
        <v>35.118000000000002</v>
      </c>
      <c r="Y17" s="819">
        <f t="shared" si="0"/>
        <v>18.396000000000001</v>
      </c>
      <c r="Z17" s="819">
        <f t="shared" si="0"/>
        <v>8.7959999999999994</v>
      </c>
    </row>
    <row r="18" spans="1:26" s="759" customFormat="1">
      <c r="A18" s="757"/>
      <c r="B18" s="758" t="s">
        <v>1250</v>
      </c>
      <c r="C18" s="819">
        <f>+C6+C9+C12+C15</f>
        <v>769.82690587227273</v>
      </c>
      <c r="D18" s="819">
        <f t="shared" ref="D18:Z18" si="1">+D6+D9+D12+D15</f>
        <v>1277.9073459912361</v>
      </c>
      <c r="E18" s="819">
        <f t="shared" si="1"/>
        <v>2617.8620096427535</v>
      </c>
      <c r="F18" s="819">
        <f t="shared" si="1"/>
        <v>1819.1841534811788</v>
      </c>
      <c r="G18" s="819">
        <f t="shared" si="1"/>
        <v>1547.7373250129594</v>
      </c>
      <c r="H18" s="819">
        <f t="shared" si="1"/>
        <v>1398.6846389048405</v>
      </c>
      <c r="I18" s="819">
        <f t="shared" si="1"/>
        <v>1574.0236820830435</v>
      </c>
      <c r="J18" s="819">
        <f t="shared" si="1"/>
        <v>1171.3344778191999</v>
      </c>
      <c r="K18" s="819">
        <f t="shared" si="1"/>
        <v>1369.8209648611296</v>
      </c>
      <c r="L18" s="819">
        <f t="shared" si="1"/>
        <v>2179.3126033593344</v>
      </c>
      <c r="M18" s="819">
        <f t="shared" si="1"/>
        <v>1571.2604552371854</v>
      </c>
      <c r="N18" s="819">
        <f t="shared" si="1"/>
        <v>1481.3732040710095</v>
      </c>
      <c r="O18" s="819">
        <f t="shared" si="1"/>
        <v>850.24369387856905</v>
      </c>
      <c r="P18" s="819">
        <f t="shared" si="1"/>
        <v>923.06272311413659</v>
      </c>
      <c r="Q18" s="819">
        <f t="shared" si="1"/>
        <v>2581.1122845502705</v>
      </c>
      <c r="R18" s="819">
        <f t="shared" si="1"/>
        <v>523.87584654235434</v>
      </c>
      <c r="S18" s="819">
        <f t="shared" si="1"/>
        <v>558.73313667437583</v>
      </c>
      <c r="T18" s="819">
        <f t="shared" si="1"/>
        <v>1689.1019502914628</v>
      </c>
      <c r="U18" s="819">
        <f t="shared" si="1"/>
        <v>545.32924262688744</v>
      </c>
      <c r="V18" s="819">
        <f t="shared" si="1"/>
        <v>324.8916854613143</v>
      </c>
      <c r="W18" s="819">
        <f t="shared" si="1"/>
        <v>1793.8552263137385</v>
      </c>
      <c r="X18" s="819">
        <f t="shared" si="1"/>
        <v>144.94849146000001</v>
      </c>
      <c r="Y18" s="819">
        <f t="shared" si="1"/>
        <v>75.928938120000012</v>
      </c>
      <c r="Z18" s="819">
        <f t="shared" si="1"/>
        <v>36.30522612</v>
      </c>
    </row>
    <row r="19" spans="1:26">
      <c r="C19" s="686"/>
      <c r="D19" s="686"/>
      <c r="E19" s="686"/>
      <c r="F19" s="686"/>
      <c r="G19" s="686"/>
      <c r="H19" s="686"/>
      <c r="I19" s="686"/>
      <c r="J19" s="686"/>
      <c r="K19" s="686"/>
      <c r="L19" s="686"/>
      <c r="M19" s="686"/>
      <c r="N19" s="686"/>
      <c r="O19" s="686"/>
      <c r="P19" s="686"/>
      <c r="Q19" s="686"/>
      <c r="R19" s="686"/>
      <c r="S19" s="686"/>
      <c r="T19" s="686"/>
      <c r="U19" s="686"/>
      <c r="V19" s="686"/>
      <c r="W19" s="686"/>
      <c r="X19" s="686"/>
      <c r="Y19" s="686"/>
      <c r="Z19" s="686"/>
    </row>
    <row r="20" spans="1:26">
      <c r="C20" s="686"/>
      <c r="D20" s="686"/>
      <c r="E20" s="686"/>
      <c r="F20" s="686"/>
      <c r="G20" s="686"/>
      <c r="H20" s="686"/>
      <c r="I20" s="686"/>
      <c r="J20" s="686"/>
      <c r="K20" s="686"/>
      <c r="L20" s="686"/>
      <c r="M20" s="686"/>
      <c r="N20" s="686"/>
      <c r="O20" s="686"/>
      <c r="P20" s="686"/>
      <c r="Q20" s="686"/>
      <c r="R20" s="686"/>
      <c r="S20" s="686"/>
      <c r="T20" s="686"/>
      <c r="U20" s="686"/>
      <c r="V20" s="686"/>
      <c r="W20" s="686"/>
      <c r="X20" s="686"/>
      <c r="Y20" s="686"/>
      <c r="Z20" s="686"/>
    </row>
  </sheetData>
  <hyperlinks>
    <hyperlink ref="A1" location="Contenido!A1" display="Volver al Contenido" xr:uid="{CFA14EF1-5212-4D9E-A04C-04C7D53EC2F8}"/>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dimension ref="A1:L50"/>
  <sheetViews>
    <sheetView showGridLines="0" zoomScale="90" zoomScaleNormal="90" workbookViewId="0">
      <pane xSplit="1" ySplit="6" topLeftCell="B37" activePane="bottomRight" state="frozen"/>
      <selection pane="topRight" activeCell="B1" sqref="B1"/>
      <selection pane="bottomLeft" activeCell="A5" sqref="A5"/>
      <selection pane="bottomRight"/>
    </sheetView>
  </sheetViews>
  <sheetFormatPr baseColWidth="10" defaultColWidth="11.453125" defaultRowHeight="15.5"/>
  <cols>
    <col min="1" max="1" width="7.453125" style="78" customWidth="1"/>
    <col min="2" max="2" width="27.453125" style="78" customWidth="1"/>
    <col min="3" max="3" width="16.1796875" style="78" bestFit="1" customWidth="1"/>
    <col min="4" max="5" width="13.81640625" style="78" customWidth="1"/>
    <col min="6" max="6" width="15.26953125" style="78" customWidth="1"/>
    <col min="7" max="7" width="15.453125" style="78" customWidth="1"/>
    <col min="8" max="8" width="13.81640625" style="78" customWidth="1"/>
    <col min="9" max="9" width="21.1796875" style="712" bestFit="1" customWidth="1"/>
    <col min="10" max="11" width="13.81640625" style="78" customWidth="1"/>
    <col min="12" max="12" width="14.81640625" style="78" customWidth="1"/>
    <col min="13" max="16384" width="11.453125" style="78"/>
  </cols>
  <sheetData>
    <row r="1" spans="1:12">
      <c r="A1" s="699" t="s">
        <v>16</v>
      </c>
    </row>
    <row r="2" spans="1:12">
      <c r="A2" s="699"/>
    </row>
    <row r="3" spans="1:12">
      <c r="A3" s="699"/>
    </row>
    <row r="4" spans="1:12">
      <c r="B4" s="143"/>
      <c r="C4" s="143"/>
      <c r="D4" s="143"/>
      <c r="E4" s="143"/>
      <c r="F4" s="143"/>
      <c r="G4" s="143"/>
    </row>
    <row r="5" spans="1:12">
      <c r="B5" s="700" t="s">
        <v>400</v>
      </c>
      <c r="C5" s="238"/>
      <c r="D5" s="238"/>
      <c r="E5" s="238"/>
      <c r="F5" s="238"/>
      <c r="G5" s="238"/>
      <c r="H5" s="238"/>
      <c r="I5" s="713"/>
      <c r="J5" s="701"/>
      <c r="K5" s="701"/>
      <c r="L5" s="701"/>
    </row>
    <row r="6" spans="1:12">
      <c r="B6" s="702" t="s">
        <v>401</v>
      </c>
      <c r="C6" s="711">
        <v>2021</v>
      </c>
      <c r="D6" s="212">
        <v>2022</v>
      </c>
      <c r="E6" s="212">
        <v>2023</v>
      </c>
      <c r="F6" s="212">
        <v>2024</v>
      </c>
      <c r="G6" s="212">
        <v>2025</v>
      </c>
      <c r="H6" s="212">
        <v>2026</v>
      </c>
      <c r="I6" s="212" t="s">
        <v>1215</v>
      </c>
      <c r="J6" s="701"/>
      <c r="K6" s="701"/>
      <c r="L6" s="701"/>
    </row>
    <row r="7" spans="1:12" ht="6.65" customHeight="1">
      <c r="B7" s="703"/>
      <c r="C7" s="703"/>
      <c r="D7" s="703"/>
      <c r="E7" s="703"/>
      <c r="F7" s="703"/>
      <c r="G7" s="703"/>
      <c r="H7" s="703"/>
      <c r="I7" s="715"/>
      <c r="J7" s="701"/>
      <c r="K7" s="701"/>
      <c r="L7" s="701"/>
    </row>
    <row r="8" spans="1:12" ht="15" customHeight="1">
      <c r="A8" s="704"/>
      <c r="B8" s="702" t="s">
        <v>402</v>
      </c>
      <c r="C8" s="212"/>
      <c r="D8" s="212"/>
      <c r="E8" s="212"/>
      <c r="F8" s="212"/>
      <c r="G8" s="212"/>
      <c r="H8" s="212"/>
      <c r="I8" s="714"/>
      <c r="J8" s="701"/>
      <c r="K8" s="701"/>
      <c r="L8" s="701"/>
    </row>
    <row r="9" spans="1:12" ht="15" customHeight="1">
      <c r="B9" s="239" t="s">
        <v>2</v>
      </c>
      <c r="C9" s="240">
        <v>557977.88356036006</v>
      </c>
      <c r="D9" s="240">
        <v>1022629.4321481875</v>
      </c>
      <c r="E9" s="240">
        <v>753025.62463661714</v>
      </c>
      <c r="F9" s="240">
        <v>241383.52866698193</v>
      </c>
      <c r="G9" s="240">
        <v>102908.17098833327</v>
      </c>
      <c r="H9" s="240">
        <v>92634.110385812935</v>
      </c>
      <c r="I9" s="716">
        <f t="shared" ref="I9:I15" si="0">SUM(D9:H9)</f>
        <v>2212580.8668259326</v>
      </c>
    </row>
    <row r="10" spans="1:12" ht="15" customHeight="1">
      <c r="B10" s="705" t="s">
        <v>1205</v>
      </c>
      <c r="C10" s="240">
        <v>37288</v>
      </c>
      <c r="D10" s="240">
        <v>16023.960567911059</v>
      </c>
      <c r="E10" s="240">
        <v>3027.6541459477212</v>
      </c>
      <c r="F10" s="240">
        <v>140.40000000005995</v>
      </c>
      <c r="G10" s="240">
        <v>-47.128773577831495</v>
      </c>
      <c r="H10" s="240">
        <v>0</v>
      </c>
      <c r="I10" s="716">
        <f t="shared" si="0"/>
        <v>19144.885940281009</v>
      </c>
    </row>
    <row r="11" spans="1:12" ht="15" customHeight="1">
      <c r="A11" s="704"/>
      <c r="B11" s="239" t="s">
        <v>393</v>
      </c>
      <c r="C11" s="240">
        <v>56718.818690750006</v>
      </c>
      <c r="D11" s="240">
        <v>187186.85082016309</v>
      </c>
      <c r="E11" s="240">
        <v>343542</v>
      </c>
      <c r="F11" s="240">
        <v>62738.141134538542</v>
      </c>
      <c r="G11" s="240">
        <v>16942.803020366409</v>
      </c>
      <c r="H11" s="240">
        <v>19214.351687067683</v>
      </c>
      <c r="I11" s="716">
        <f t="shared" si="0"/>
        <v>629624.14666213561</v>
      </c>
    </row>
    <row r="12" spans="1:12" ht="15" customHeight="1">
      <c r="B12" s="239" t="s">
        <v>403</v>
      </c>
      <c r="C12" s="240">
        <v>49778.588000000003</v>
      </c>
      <c r="D12" s="240">
        <v>86908.27239713</v>
      </c>
      <c r="E12" s="240">
        <v>87772.320353704461</v>
      </c>
      <c r="F12" s="240">
        <v>90672.358615864898</v>
      </c>
      <c r="G12" s="240">
        <v>88664.546450188456</v>
      </c>
      <c r="H12" s="240">
        <v>86590.476483044666</v>
      </c>
      <c r="I12" s="716">
        <f t="shared" si="0"/>
        <v>440607.97429993248</v>
      </c>
    </row>
    <row r="13" spans="1:12" ht="15" customHeight="1">
      <c r="B13" s="239" t="s">
        <v>404</v>
      </c>
      <c r="C13" s="240">
        <v>890.995</v>
      </c>
      <c r="D13" s="240">
        <v>2047.6822369813101</v>
      </c>
      <c r="E13" s="240">
        <v>2661.6032949999999</v>
      </c>
      <c r="F13" s="240">
        <v>0</v>
      </c>
      <c r="G13" s="240">
        <v>0</v>
      </c>
      <c r="H13" s="240">
        <v>0</v>
      </c>
      <c r="I13" s="716">
        <f t="shared" si="0"/>
        <v>4709.2855319813098</v>
      </c>
    </row>
    <row r="14" spans="1:12" ht="15" customHeight="1">
      <c r="A14" s="704"/>
      <c r="B14" s="239" t="s">
        <v>1134</v>
      </c>
      <c r="C14" s="240">
        <v>45653</v>
      </c>
      <c r="D14" s="240">
        <v>51209.159917172932</v>
      </c>
      <c r="E14" s="240">
        <v>68735.857590031956</v>
      </c>
      <c r="F14" s="240">
        <v>82395.93421551252</v>
      </c>
      <c r="G14" s="240">
        <v>59394.766248923093</v>
      </c>
      <c r="H14" s="240">
        <v>76156.606068077876</v>
      </c>
      <c r="I14" s="716">
        <f t="shared" si="0"/>
        <v>337892.32403971837</v>
      </c>
    </row>
    <row r="15" spans="1:12" ht="15" customHeight="1">
      <c r="B15" s="702" t="s">
        <v>405</v>
      </c>
      <c r="C15" s="706">
        <v>748307.28525111009</v>
      </c>
      <c r="D15" s="706">
        <v>1366005.358087546</v>
      </c>
      <c r="E15" s="706">
        <v>1258765.0600213013</v>
      </c>
      <c r="F15" s="706">
        <v>477330.36263289792</v>
      </c>
      <c r="G15" s="706">
        <v>267863.15793423343</v>
      </c>
      <c r="H15" s="706">
        <v>274595.54462400317</v>
      </c>
      <c r="I15" s="719">
        <f t="shared" si="0"/>
        <v>3644559.4832999813</v>
      </c>
    </row>
    <row r="16" spans="1:12" ht="15" customHeight="1">
      <c r="B16" s="239"/>
      <c r="C16" s="240"/>
      <c r="D16" s="240"/>
      <c r="E16" s="240"/>
      <c r="F16" s="240"/>
      <c r="G16" s="240"/>
      <c r="H16" s="240"/>
      <c r="I16" s="716"/>
    </row>
    <row r="17" spans="1:9" ht="15" customHeight="1">
      <c r="A17" s="704"/>
      <c r="B17" s="702" t="s">
        <v>406</v>
      </c>
      <c r="C17" s="212"/>
      <c r="D17" s="212"/>
      <c r="E17" s="212"/>
      <c r="F17" s="212"/>
      <c r="G17" s="212"/>
      <c r="H17" s="212"/>
      <c r="I17" s="714"/>
    </row>
    <row r="18" spans="1:9" ht="15" customHeight="1">
      <c r="B18" s="239" t="s">
        <v>1135</v>
      </c>
      <c r="C18" s="240">
        <v>17286.661187992511</v>
      </c>
      <c r="D18" s="240">
        <v>29056.385826693164</v>
      </c>
      <c r="E18" s="240">
        <v>31460.13690386953</v>
      </c>
      <c r="F18" s="240">
        <v>28469.028894164319</v>
      </c>
      <c r="G18" s="240">
        <v>26734.6897692438</v>
      </c>
      <c r="H18" s="240">
        <v>28136.479184114854</v>
      </c>
      <c r="I18" s="716">
        <f>SUM(D18:H18)</f>
        <v>143856.72057808569</v>
      </c>
    </row>
    <row r="19" spans="1:9" ht="15" customHeight="1">
      <c r="B19" s="239" t="s">
        <v>376</v>
      </c>
      <c r="C19" s="240">
        <v>763667.84206895891</v>
      </c>
      <c r="D19" s="240">
        <v>812886.8571113908</v>
      </c>
      <c r="E19" s="240">
        <v>276758.87670586572</v>
      </c>
      <c r="F19" s="240">
        <v>14203.726986702892</v>
      </c>
      <c r="G19" s="240">
        <v>4867.7413819543217</v>
      </c>
      <c r="H19" s="240">
        <v>5364.9937958975606</v>
      </c>
      <c r="I19" s="716">
        <f>SUM(D19:H19)</f>
        <v>1114082.1959818115</v>
      </c>
    </row>
    <row r="20" spans="1:9" ht="15" customHeight="1">
      <c r="A20" s="704"/>
      <c r="B20" s="239" t="s">
        <v>377</v>
      </c>
      <c r="C20" s="240">
        <v>4737.8737884370003</v>
      </c>
      <c r="D20" s="240">
        <v>22834.478901598788</v>
      </c>
      <c r="E20" s="240">
        <v>17634.524365756028</v>
      </c>
      <c r="F20" s="240">
        <v>18275.263435412464</v>
      </c>
      <c r="G20" s="240">
        <v>8282.7107804438019</v>
      </c>
      <c r="H20" s="240">
        <v>14363.273589622702</v>
      </c>
      <c r="I20" s="716">
        <f>SUM(D20:H20)</f>
        <v>81390.25107283378</v>
      </c>
    </row>
    <row r="21" spans="1:9" ht="15" customHeight="1">
      <c r="B21" s="239" t="s">
        <v>8</v>
      </c>
      <c r="C21" s="240">
        <v>76887.444378745524</v>
      </c>
      <c r="D21" s="240">
        <v>146448.17650893019</v>
      </c>
      <c r="E21" s="240">
        <v>73049.944977074119</v>
      </c>
      <c r="F21" s="240">
        <v>75335.618137118872</v>
      </c>
      <c r="G21" s="240">
        <v>41872.767150079671</v>
      </c>
      <c r="H21" s="240">
        <v>47267.083472846898</v>
      </c>
      <c r="I21" s="716">
        <f>SUM(D21:H21)</f>
        <v>383973.59024604975</v>
      </c>
    </row>
    <row r="22" spans="1:9" ht="15" customHeight="1">
      <c r="B22" s="702" t="s">
        <v>407</v>
      </c>
      <c r="C22" s="706">
        <v>862579.82142413396</v>
      </c>
      <c r="D22" s="706">
        <v>1011225.8983486129</v>
      </c>
      <c r="E22" s="706">
        <v>398903.48295256536</v>
      </c>
      <c r="F22" s="706">
        <v>136283.63745339855</v>
      </c>
      <c r="G22" s="706">
        <v>81757.909081721591</v>
      </c>
      <c r="H22" s="706">
        <v>95131.830042482019</v>
      </c>
      <c r="I22" s="719">
        <f>SUM(D22:H22)</f>
        <v>1723302.7578787806</v>
      </c>
    </row>
    <row r="23" spans="1:9" ht="15" customHeight="1">
      <c r="A23" s="704"/>
      <c r="B23" s="239"/>
      <c r="C23" s="240"/>
      <c r="D23" s="240"/>
      <c r="E23" s="240"/>
      <c r="F23" s="240"/>
      <c r="G23" s="240"/>
      <c r="H23" s="240"/>
      <c r="I23" s="716"/>
    </row>
    <row r="24" spans="1:9" ht="15" customHeight="1">
      <c r="B24" s="702" t="s">
        <v>408</v>
      </c>
      <c r="C24" s="212"/>
      <c r="D24" s="212"/>
      <c r="E24" s="212"/>
      <c r="F24" s="212"/>
      <c r="G24" s="212"/>
      <c r="H24" s="212"/>
      <c r="I24" s="714"/>
    </row>
    <row r="25" spans="1:9" ht="15" customHeight="1">
      <c r="B25" s="707" t="s">
        <v>380</v>
      </c>
      <c r="C25" s="708">
        <v>1561955.1945190295</v>
      </c>
      <c r="D25" s="708">
        <v>665973.63122799934</v>
      </c>
      <c r="E25" s="708">
        <v>1303636.7332863992</v>
      </c>
      <c r="F25" s="708">
        <v>1205043.9341492241</v>
      </c>
      <c r="G25" s="708">
        <v>1080159.4749364331</v>
      </c>
      <c r="H25" s="708">
        <v>826937.04275962897</v>
      </c>
      <c r="I25" s="717">
        <f t="shared" ref="I25:I30" si="1">SUM(D25:H25)</f>
        <v>5081750.8163596848</v>
      </c>
    </row>
    <row r="26" spans="1:9" ht="15" customHeight="1">
      <c r="B26" s="709" t="s">
        <v>1206</v>
      </c>
      <c r="C26" s="240">
        <v>1561955.1945190295</v>
      </c>
      <c r="D26" s="240">
        <v>665973.63122799934</v>
      </c>
      <c r="E26" s="240">
        <v>1303636.7332863992</v>
      </c>
      <c r="F26" s="240">
        <v>1205043.9341492241</v>
      </c>
      <c r="G26" s="240">
        <v>1080159.4749364331</v>
      </c>
      <c r="H26" s="240">
        <v>826937.04275962897</v>
      </c>
      <c r="I26" s="716">
        <f t="shared" si="1"/>
        <v>5081750.8163596848</v>
      </c>
    </row>
    <row r="27" spans="1:9" ht="15" customHeight="1">
      <c r="B27" s="709" t="s">
        <v>1207</v>
      </c>
      <c r="C27" s="240">
        <v>0</v>
      </c>
      <c r="D27" s="240">
        <v>0</v>
      </c>
      <c r="E27" s="240">
        <v>0</v>
      </c>
      <c r="F27" s="240">
        <v>0</v>
      </c>
      <c r="G27" s="240">
        <v>0</v>
      </c>
      <c r="H27" s="240">
        <v>0</v>
      </c>
      <c r="I27" s="716">
        <f t="shared" si="1"/>
        <v>0</v>
      </c>
    </row>
    <row r="28" spans="1:9" ht="15" customHeight="1">
      <c r="B28" s="707" t="s">
        <v>1136</v>
      </c>
      <c r="C28" s="708">
        <v>449031.93010764028</v>
      </c>
      <c r="D28" s="708">
        <v>919991.05525303702</v>
      </c>
      <c r="E28" s="708">
        <v>604150.86265226884</v>
      </c>
      <c r="F28" s="708">
        <v>1456414.219557499</v>
      </c>
      <c r="G28" s="708">
        <v>1815747.4901973142</v>
      </c>
      <c r="H28" s="708">
        <v>230224.69203806121</v>
      </c>
      <c r="I28" s="717">
        <f t="shared" si="1"/>
        <v>5026528.3196981801</v>
      </c>
    </row>
    <row r="29" spans="1:9" ht="15" customHeight="1">
      <c r="B29" s="239" t="s">
        <v>1137</v>
      </c>
      <c r="C29" s="240">
        <v>28950.091175664063</v>
      </c>
      <c r="D29" s="240">
        <v>11402.008625587145</v>
      </c>
      <c r="E29" s="240">
        <v>10658.630250401184</v>
      </c>
      <c r="F29" s="240">
        <v>11116.598518585812</v>
      </c>
      <c r="G29" s="240">
        <v>11853.520288929582</v>
      </c>
      <c r="H29" s="240">
        <v>12769.361905484295</v>
      </c>
      <c r="I29" s="716">
        <f t="shared" si="1"/>
        <v>57800.119588988018</v>
      </c>
    </row>
    <row r="30" spans="1:9" ht="15" customHeight="1">
      <c r="B30" s="702" t="s">
        <v>409</v>
      </c>
      <c r="C30" s="706">
        <v>2039937.2158023336</v>
      </c>
      <c r="D30" s="706">
        <v>1597366.6951066235</v>
      </c>
      <c r="E30" s="706">
        <v>1918446.2261890692</v>
      </c>
      <c r="F30" s="706">
        <v>2672574.7522253091</v>
      </c>
      <c r="G30" s="706">
        <v>2907760.4854226769</v>
      </c>
      <c r="H30" s="706">
        <v>1069931.0967031743</v>
      </c>
      <c r="I30" s="719">
        <f t="shared" si="1"/>
        <v>10166079.255646853</v>
      </c>
    </row>
    <row r="31" spans="1:9" ht="15" customHeight="1">
      <c r="B31" s="239"/>
      <c r="C31" s="240"/>
      <c r="D31" s="240"/>
      <c r="E31" s="240"/>
      <c r="F31" s="240"/>
      <c r="G31" s="240"/>
      <c r="H31" s="240"/>
      <c r="I31" s="716"/>
    </row>
    <row r="32" spans="1:9" ht="15" customHeight="1">
      <c r="B32" s="702" t="s">
        <v>410</v>
      </c>
      <c r="C32" s="212"/>
      <c r="D32" s="212"/>
      <c r="E32" s="212"/>
      <c r="F32" s="212"/>
      <c r="G32" s="212"/>
      <c r="H32" s="212"/>
      <c r="I32" s="714"/>
    </row>
    <row r="33" spans="2:9" ht="15" customHeight="1">
      <c r="B33" s="239" t="s">
        <v>1138</v>
      </c>
      <c r="C33" s="240">
        <v>2082.4420630307131</v>
      </c>
      <c r="D33" s="240">
        <v>3677.1413159261342</v>
      </c>
      <c r="E33" s="240">
        <v>2482.6711037924383</v>
      </c>
      <c r="F33" s="240">
        <v>3308.4394158950795</v>
      </c>
      <c r="G33" s="240">
        <v>5775.9456226967586</v>
      </c>
      <c r="H33" s="240">
        <v>834.27813438533349</v>
      </c>
      <c r="I33" s="716">
        <f>SUM(D33:H33)</f>
        <v>16078.475592695742</v>
      </c>
    </row>
    <row r="34" spans="2:9" ht="15" customHeight="1">
      <c r="B34" s="239" t="s">
        <v>1139</v>
      </c>
      <c r="C34" s="240">
        <v>3896.1014821369599</v>
      </c>
      <c r="D34" s="240">
        <v>4026.841167897383</v>
      </c>
      <c r="E34" s="240">
        <v>2387.7554404536654</v>
      </c>
      <c r="F34" s="240">
        <v>2353.6395488444764</v>
      </c>
      <c r="G34" s="240">
        <v>2287.8671997463443</v>
      </c>
      <c r="H34" s="240">
        <v>2404.9090309125454</v>
      </c>
      <c r="I34" s="716">
        <f>SUM(D34:H34)</f>
        <v>13461.012387854415</v>
      </c>
    </row>
    <row r="35" spans="2:9" ht="15" customHeight="1">
      <c r="B35" s="702" t="s">
        <v>411</v>
      </c>
      <c r="C35" s="706">
        <v>5978.5435451676731</v>
      </c>
      <c r="D35" s="706">
        <v>7703.9824838235172</v>
      </c>
      <c r="E35" s="706">
        <v>4870.4265442461037</v>
      </c>
      <c r="F35" s="706">
        <v>5662.0789647395559</v>
      </c>
      <c r="G35" s="706">
        <v>8063.812822443103</v>
      </c>
      <c r="H35" s="706">
        <v>3239.1871652978789</v>
      </c>
      <c r="I35" s="719">
        <f>SUM(D35:H35)</f>
        <v>29539.487980550155</v>
      </c>
    </row>
    <row r="36" spans="2:9" ht="15" customHeight="1">
      <c r="B36" s="710"/>
      <c r="C36" s="710"/>
      <c r="D36" s="710"/>
      <c r="E36" s="710"/>
      <c r="F36" s="710"/>
      <c r="G36" s="710"/>
      <c r="H36" s="710"/>
      <c r="I36" s="718">
        <f>SUM(C36:H36)</f>
        <v>0</v>
      </c>
    </row>
    <row r="37" spans="2:9" ht="15" customHeight="1">
      <c r="B37" s="702" t="s">
        <v>412</v>
      </c>
      <c r="C37" s="212"/>
      <c r="D37" s="212"/>
      <c r="E37" s="212"/>
      <c r="F37" s="212"/>
      <c r="G37" s="212"/>
      <c r="H37" s="212"/>
      <c r="I37" s="714"/>
    </row>
    <row r="38" spans="2:9" ht="15" customHeight="1">
      <c r="B38" s="705" t="s">
        <v>1140</v>
      </c>
      <c r="C38" s="240">
        <v>444579.40954423836</v>
      </c>
      <c r="D38" s="240">
        <v>239.98277395932385</v>
      </c>
      <c r="E38" s="240">
        <v>0</v>
      </c>
      <c r="F38" s="240">
        <v>0</v>
      </c>
      <c r="G38" s="240">
        <v>0</v>
      </c>
      <c r="H38" s="240">
        <v>0</v>
      </c>
      <c r="I38" s="716">
        <v>0</v>
      </c>
    </row>
    <row r="39" spans="2:9" ht="15" customHeight="1">
      <c r="B39" s="705" t="s">
        <v>1208</v>
      </c>
      <c r="C39" s="240"/>
      <c r="D39" s="240">
        <v>28389.91256104437</v>
      </c>
      <c r="E39" s="240">
        <v>136217.69139066475</v>
      </c>
      <c r="F39" s="240">
        <v>117608.87296756497</v>
      </c>
      <c r="G39" s="240">
        <v>17069.377316890994</v>
      </c>
      <c r="H39" s="240">
        <v>996.14935001215201</v>
      </c>
      <c r="I39" s="716">
        <v>2032.1446790880877</v>
      </c>
    </row>
    <row r="40" spans="2:9" ht="15" customHeight="1">
      <c r="B40" s="705" t="s">
        <v>1209</v>
      </c>
      <c r="C40" s="240"/>
      <c r="D40" s="240">
        <v>0</v>
      </c>
      <c r="E40" s="240">
        <v>0</v>
      </c>
      <c r="F40" s="240">
        <v>0</v>
      </c>
      <c r="G40" s="240">
        <v>0</v>
      </c>
      <c r="H40" s="240">
        <v>0</v>
      </c>
      <c r="I40" s="716">
        <v>0</v>
      </c>
    </row>
    <row r="41" spans="2:9" ht="15" customHeight="1">
      <c r="B41" s="705" t="s">
        <v>1210</v>
      </c>
      <c r="C41" s="240"/>
      <c r="D41" s="240">
        <v>47987.259535510719</v>
      </c>
      <c r="E41" s="240">
        <v>117.81820279226073</v>
      </c>
      <c r="F41" s="240">
        <v>0</v>
      </c>
      <c r="G41" s="240">
        <v>0</v>
      </c>
      <c r="H41" s="240">
        <v>0</v>
      </c>
      <c r="I41" s="716">
        <v>0</v>
      </c>
    </row>
    <row r="42" spans="2:9" ht="15" customHeight="1">
      <c r="B42" s="705" t="s">
        <v>1211</v>
      </c>
      <c r="C42" s="240"/>
      <c r="D42" s="240">
        <v>103586.8637098684</v>
      </c>
      <c r="E42" s="240">
        <v>61536.795747315562</v>
      </c>
      <c r="F42" s="240">
        <v>0</v>
      </c>
      <c r="G42" s="240">
        <v>0</v>
      </c>
      <c r="H42" s="240">
        <v>0</v>
      </c>
      <c r="I42" s="716">
        <v>0</v>
      </c>
    </row>
    <row r="43" spans="2:9">
      <c r="B43" s="705" t="s">
        <v>1212</v>
      </c>
      <c r="C43" s="240"/>
      <c r="D43" s="240">
        <v>96376.74954766396</v>
      </c>
      <c r="E43" s="240">
        <v>42126.956865329659</v>
      </c>
      <c r="F43" s="240">
        <v>0</v>
      </c>
      <c r="G43" s="240">
        <v>0</v>
      </c>
      <c r="H43" s="240">
        <v>0</v>
      </c>
      <c r="I43" s="716">
        <v>0</v>
      </c>
    </row>
    <row r="44" spans="2:9">
      <c r="B44" s="705" t="s">
        <v>1213</v>
      </c>
      <c r="C44" s="240"/>
      <c r="D44" s="240">
        <v>195863.95479566246</v>
      </c>
      <c r="E44" s="240">
        <v>516166.73233844526</v>
      </c>
      <c r="F44" s="240">
        <v>148067.92611530866</v>
      </c>
      <c r="G44" s="240">
        <v>1634.6862728121985</v>
      </c>
      <c r="H44" s="240">
        <v>0</v>
      </c>
      <c r="I44" s="716">
        <v>0</v>
      </c>
    </row>
    <row r="45" spans="2:9">
      <c r="B45" s="705" t="s">
        <v>1141</v>
      </c>
      <c r="C45" s="240">
        <v>6113.6629898901774</v>
      </c>
      <c r="D45" s="240">
        <v>10655.705505713813</v>
      </c>
      <c r="E45" s="240">
        <v>8641.7079817216527</v>
      </c>
      <c r="F45" s="240">
        <v>8462.3044637294952</v>
      </c>
      <c r="G45" s="240">
        <v>9850.2950614574074</v>
      </c>
      <c r="H45" s="240">
        <v>10170.176131400209</v>
      </c>
      <c r="I45" s="716">
        <f>SUM(D45:H45)</f>
        <v>47780.189144022574</v>
      </c>
    </row>
    <row r="46" spans="2:9">
      <c r="B46" s="705" t="s">
        <v>1214</v>
      </c>
      <c r="C46" s="240"/>
      <c r="D46" s="240">
        <v>148822.41770592198</v>
      </c>
      <c r="E46" s="240">
        <v>0</v>
      </c>
      <c r="F46" s="240">
        <v>0</v>
      </c>
      <c r="G46" s="240">
        <v>305489.57649770734</v>
      </c>
      <c r="H46" s="240">
        <v>410612.24907315098</v>
      </c>
      <c r="I46" s="716">
        <f>SUM(D46:H46)</f>
        <v>864924.24327678024</v>
      </c>
    </row>
    <row r="47" spans="2:9">
      <c r="B47" s="705" t="s">
        <v>643</v>
      </c>
      <c r="C47" s="240">
        <v>87588.229856627469</v>
      </c>
      <c r="D47" s="240">
        <v>55280.709051193466</v>
      </c>
      <c r="E47" s="240">
        <v>78977.712156989975</v>
      </c>
      <c r="F47" s="240">
        <v>13262.732123536429</v>
      </c>
      <c r="G47" s="240">
        <v>6853.5596851505406</v>
      </c>
      <c r="H47" s="240">
        <v>6921.8706567912377</v>
      </c>
      <c r="I47" s="716">
        <f>SUM(D47:H47)</f>
        <v>161296.58367366166</v>
      </c>
    </row>
    <row r="48" spans="2:9">
      <c r="B48" s="702" t="s">
        <v>413</v>
      </c>
      <c r="C48" s="706">
        <v>538281.30239075609</v>
      </c>
      <c r="D48" s="706">
        <v>687203.55518653849</v>
      </c>
      <c r="E48" s="706">
        <v>843785.41468325909</v>
      </c>
      <c r="F48" s="706">
        <v>287401.83567013952</v>
      </c>
      <c r="G48" s="706">
        <v>340897.49483401852</v>
      </c>
      <c r="H48" s="706">
        <v>428700.44521135458</v>
      </c>
      <c r="I48" s="719">
        <f>SUM(D48:H48)</f>
        <v>2587988.7455853103</v>
      </c>
    </row>
    <row r="49" spans="2:9">
      <c r="B49" s="238"/>
      <c r="C49" s="241"/>
      <c r="D49" s="241"/>
      <c r="E49" s="241"/>
      <c r="F49" s="241"/>
      <c r="G49" s="241"/>
      <c r="H49" s="241"/>
      <c r="I49" s="720"/>
    </row>
    <row r="50" spans="2:9">
      <c r="B50" s="702" t="s">
        <v>1084</v>
      </c>
      <c r="C50" s="706">
        <f t="shared" ref="C50:H50" si="2">+C15+C22+C30+C35+C48</f>
        <v>4195084.1684135012</v>
      </c>
      <c r="D50" s="706">
        <f t="shared" si="2"/>
        <v>4669505.4892131444</v>
      </c>
      <c r="E50" s="706">
        <f t="shared" si="2"/>
        <v>4424770.6103904415</v>
      </c>
      <c r="F50" s="706">
        <f t="shared" si="2"/>
        <v>3579252.6669464847</v>
      </c>
      <c r="G50" s="706">
        <f t="shared" si="2"/>
        <v>3606342.860095093</v>
      </c>
      <c r="H50" s="706">
        <f t="shared" si="2"/>
        <v>1871598.103746312</v>
      </c>
      <c r="I50" s="719">
        <f>SUM(D50:H50)</f>
        <v>18151469.730391476</v>
      </c>
    </row>
  </sheetData>
  <hyperlinks>
    <hyperlink ref="A1" location="Contenido!A1" display="Volver al Contenido" xr:uid="{9790D566-A57F-46E6-8E76-AACB5C1F444A}"/>
  </hyperlinks>
  <pageMargins left="0.7" right="0.7" top="0.75" bottom="0.75" header="0.3" footer="0.3"/>
  <pageSetup paperSize="9" orientation="portrait" horizontalDpi="1200" verticalDpi="1200" r:id="rId1"/>
  <customProperties>
    <customPr name="_pios_id" r:id="rId2"/>
    <customPr name="EpmWorksheetKeyString_GUID" r:id="rId3"/>
  </customPropertie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AF2FE-256A-4099-A288-8F8BD0275165}">
  <dimension ref="A1:AG110"/>
  <sheetViews>
    <sheetView showGridLines="0" zoomScale="70" zoomScaleNormal="70" workbookViewId="0">
      <pane xSplit="1" ySplit="8" topLeftCell="B9" activePane="bottomRight" state="frozen"/>
      <selection pane="topRight" activeCell="B1" sqref="B1"/>
      <selection pane="bottomLeft" activeCell="A5" sqref="A5"/>
      <selection pane="bottomRight" activeCell="E4" sqref="E4"/>
    </sheetView>
  </sheetViews>
  <sheetFormatPr baseColWidth="10" defaultColWidth="11.453125" defaultRowHeight="14.5"/>
  <cols>
    <col min="2" max="2" width="24.81640625" customWidth="1"/>
    <col min="3" max="3" width="24.54296875" customWidth="1"/>
    <col min="4" max="4" width="9.54296875" customWidth="1"/>
    <col min="5" max="5" width="65.81640625" customWidth="1"/>
  </cols>
  <sheetData>
    <row r="1" spans="1:33">
      <c r="A1" s="2" t="s">
        <v>16</v>
      </c>
      <c r="B1" s="46"/>
      <c r="C1" s="46"/>
      <c r="D1" s="46"/>
      <c r="E1" s="46"/>
      <c r="F1" s="46"/>
    </row>
    <row r="2" spans="1:33" s="46" customFormat="1">
      <c r="A2" s="2"/>
    </row>
    <row r="3" spans="1:33" s="46" customFormat="1">
      <c r="A3" s="2"/>
    </row>
    <row r="4" spans="1:33" s="46" customFormat="1">
      <c r="A4" s="2"/>
    </row>
    <row r="5" spans="1:33">
      <c r="A5" s="2"/>
    </row>
    <row r="6" spans="1:33" s="46" customFormat="1">
      <c r="A6" s="2"/>
    </row>
    <row r="7" spans="1:33" s="41" customFormat="1" ht="26">
      <c r="A7" s="41" t="s">
        <v>709</v>
      </c>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row>
    <row r="8" spans="1:33" s="1" customFormat="1" ht="20">
      <c r="A8" s="220" t="s">
        <v>414</v>
      </c>
      <c r="B8" s="221" t="s">
        <v>415</v>
      </c>
      <c r="C8" s="221" t="s">
        <v>416</v>
      </c>
      <c r="D8" s="222" t="s">
        <v>417</v>
      </c>
      <c r="E8" s="222" t="s">
        <v>418</v>
      </c>
      <c r="F8" s="222" t="s">
        <v>419</v>
      </c>
      <c r="G8" s="222"/>
      <c r="H8" s="223"/>
      <c r="I8" s="223"/>
      <c r="J8" s="223"/>
      <c r="K8" s="223"/>
      <c r="L8" s="223"/>
      <c r="M8" s="223"/>
      <c r="N8" s="223"/>
      <c r="O8" s="223"/>
      <c r="P8" s="223"/>
      <c r="Q8" s="219"/>
      <c r="R8" s="219"/>
      <c r="S8" s="219"/>
      <c r="T8" s="219"/>
      <c r="U8" s="219"/>
      <c r="V8" s="219"/>
      <c r="W8" s="219"/>
      <c r="X8" s="219"/>
      <c r="Y8" s="5"/>
      <c r="Z8" s="5"/>
      <c r="AA8" s="5"/>
      <c r="AB8" s="5"/>
      <c r="AC8" s="5"/>
      <c r="AD8" s="5"/>
      <c r="AE8" s="5"/>
      <c r="AF8" s="5"/>
      <c r="AG8" s="5"/>
    </row>
    <row r="9" spans="1:33" s="1" customFormat="1" ht="15.5">
      <c r="A9" s="214" t="s">
        <v>402</v>
      </c>
      <c r="B9" s="208" t="s">
        <v>420</v>
      </c>
      <c r="C9" s="208" t="s">
        <v>421</v>
      </c>
      <c r="D9" s="208" t="s">
        <v>422</v>
      </c>
      <c r="E9" s="215" t="s">
        <v>423</v>
      </c>
      <c r="F9" s="208" t="s">
        <v>424</v>
      </c>
      <c r="G9" s="208"/>
      <c r="H9" s="208"/>
      <c r="I9" s="208"/>
      <c r="J9" s="208"/>
      <c r="K9" s="208"/>
      <c r="L9" s="208"/>
      <c r="M9" s="208"/>
      <c r="N9" s="208"/>
      <c r="O9" s="208"/>
      <c r="P9" s="208"/>
      <c r="Q9" s="208"/>
      <c r="R9" s="208"/>
      <c r="S9" s="63"/>
      <c r="T9" s="63"/>
      <c r="U9" s="63"/>
      <c r="V9" s="63"/>
      <c r="W9" s="5"/>
      <c r="X9" s="5"/>
      <c r="Y9" s="5"/>
      <c r="Z9" s="5"/>
      <c r="AA9" s="5"/>
      <c r="AB9" s="5"/>
      <c r="AC9" s="5"/>
      <c r="AD9" s="5"/>
      <c r="AE9" s="5"/>
      <c r="AF9" s="5"/>
      <c r="AG9" s="5"/>
    </row>
    <row r="10" spans="1:33" s="1" customFormat="1" ht="15.5">
      <c r="A10" s="208" t="s">
        <v>402</v>
      </c>
      <c r="B10" s="208" t="s">
        <v>420</v>
      </c>
      <c r="C10" s="208" t="s">
        <v>425</v>
      </c>
      <c r="D10" s="208" t="s">
        <v>422</v>
      </c>
      <c r="E10" s="215" t="s">
        <v>423</v>
      </c>
      <c r="F10" s="208" t="s">
        <v>426</v>
      </c>
      <c r="G10" s="208"/>
      <c r="H10" s="208"/>
      <c r="I10" s="208"/>
      <c r="J10" s="208"/>
      <c r="K10" s="208"/>
      <c r="L10" s="208"/>
      <c r="M10" s="208"/>
      <c r="N10" s="208"/>
      <c r="O10" s="208"/>
      <c r="P10" s="208"/>
      <c r="Q10" s="208"/>
      <c r="R10" s="208"/>
      <c r="S10" s="63"/>
      <c r="T10" s="63"/>
      <c r="U10" s="63"/>
      <c r="V10" s="63"/>
      <c r="W10" s="5"/>
      <c r="X10" s="5"/>
      <c r="Y10" s="5"/>
      <c r="Z10" s="5"/>
      <c r="AA10" s="5"/>
      <c r="AB10" s="5"/>
      <c r="AC10" s="5"/>
      <c r="AD10" s="5"/>
      <c r="AE10" s="5"/>
      <c r="AF10" s="5"/>
      <c r="AG10" s="5"/>
    </row>
    <row r="11" spans="1:33" s="1" customFormat="1" ht="15.5">
      <c r="A11" s="208" t="s">
        <v>402</v>
      </c>
      <c r="B11" s="208" t="s">
        <v>420</v>
      </c>
      <c r="C11" s="208" t="s">
        <v>427</v>
      </c>
      <c r="D11" s="208" t="s">
        <v>422</v>
      </c>
      <c r="E11" s="215" t="s">
        <v>423</v>
      </c>
      <c r="F11" s="208" t="s">
        <v>428</v>
      </c>
      <c r="G11" s="208"/>
      <c r="H11" s="208"/>
      <c r="I11" s="208"/>
      <c r="J11" s="208"/>
      <c r="K11" s="208"/>
      <c r="L11" s="208"/>
      <c r="M11" s="208"/>
      <c r="N11" s="208"/>
      <c r="O11" s="208"/>
      <c r="P11" s="208"/>
      <c r="Q11" s="208"/>
      <c r="R11" s="208"/>
      <c r="S11" s="63"/>
      <c r="T11" s="63"/>
      <c r="U11" s="63"/>
      <c r="V11" s="63"/>
      <c r="W11" s="5"/>
      <c r="X11" s="5"/>
      <c r="Y11" s="5"/>
      <c r="Z11" s="5"/>
      <c r="AA11" s="5"/>
      <c r="AB11" s="5"/>
      <c r="AC11" s="5"/>
      <c r="AD11" s="5"/>
      <c r="AE11" s="5"/>
      <c r="AF11" s="5"/>
      <c r="AG11" s="5"/>
    </row>
    <row r="12" spans="1:33" s="1" customFormat="1" ht="15.5">
      <c r="A12" s="208" t="s">
        <v>402</v>
      </c>
      <c r="B12" s="208" t="s">
        <v>420</v>
      </c>
      <c r="C12" s="208" t="s">
        <v>429</v>
      </c>
      <c r="D12" s="208" t="s">
        <v>422</v>
      </c>
      <c r="E12" s="215" t="s">
        <v>423</v>
      </c>
      <c r="F12" s="208" t="s">
        <v>430</v>
      </c>
      <c r="G12" s="208"/>
      <c r="H12" s="208"/>
      <c r="I12" s="208"/>
      <c r="J12" s="208"/>
      <c r="K12" s="208"/>
      <c r="L12" s="208"/>
      <c r="M12" s="208"/>
      <c r="N12" s="208"/>
      <c r="O12" s="208"/>
      <c r="P12" s="208"/>
      <c r="Q12" s="208"/>
      <c r="R12" s="208"/>
      <c r="S12" s="63"/>
      <c r="T12" s="63"/>
      <c r="U12" s="63"/>
      <c r="V12" s="63"/>
      <c r="W12" s="5"/>
      <c r="X12" s="5"/>
      <c r="Y12" s="5"/>
      <c r="Z12" s="5"/>
      <c r="AA12" s="5"/>
      <c r="AB12" s="5"/>
      <c r="AC12" s="5"/>
      <c r="AD12" s="5"/>
      <c r="AE12" s="5"/>
      <c r="AF12" s="5"/>
      <c r="AG12" s="5"/>
    </row>
    <row r="13" spans="1:33" s="1" customFormat="1" ht="15.5">
      <c r="A13" s="208" t="s">
        <v>402</v>
      </c>
      <c r="B13" s="208" t="s">
        <v>420</v>
      </c>
      <c r="C13" s="208" t="s">
        <v>431</v>
      </c>
      <c r="D13" s="208" t="s">
        <v>422</v>
      </c>
      <c r="E13" s="215" t="s">
        <v>423</v>
      </c>
      <c r="F13" s="208" t="s">
        <v>432</v>
      </c>
      <c r="G13" s="208"/>
      <c r="H13" s="208"/>
      <c r="I13" s="208"/>
      <c r="J13" s="208"/>
      <c r="K13" s="208"/>
      <c r="L13" s="208"/>
      <c r="M13" s="208"/>
      <c r="N13" s="208"/>
      <c r="O13" s="208"/>
      <c r="P13" s="208"/>
      <c r="Q13" s="208"/>
      <c r="R13" s="208"/>
      <c r="S13" s="63"/>
      <c r="T13" s="63"/>
      <c r="U13" s="63"/>
      <c r="V13" s="63"/>
      <c r="W13" s="5"/>
      <c r="X13" s="5"/>
      <c r="Y13" s="5"/>
      <c r="Z13" s="5"/>
      <c r="AA13" s="5"/>
      <c r="AB13" s="5"/>
      <c r="AC13" s="5"/>
      <c r="AD13" s="5"/>
      <c r="AE13" s="5"/>
      <c r="AF13" s="5"/>
      <c r="AG13" s="5"/>
    </row>
    <row r="14" spans="1:33" s="1" customFormat="1" ht="15.5">
      <c r="A14" s="208" t="s">
        <v>402</v>
      </c>
      <c r="B14" s="208" t="s">
        <v>420</v>
      </c>
      <c r="C14" s="208" t="s">
        <v>433</v>
      </c>
      <c r="D14" s="208" t="s">
        <v>422</v>
      </c>
      <c r="E14" s="215" t="s">
        <v>423</v>
      </c>
      <c r="F14" s="208" t="s">
        <v>434</v>
      </c>
      <c r="G14" s="208"/>
      <c r="H14" s="208"/>
      <c r="I14" s="208"/>
      <c r="J14" s="208"/>
      <c r="K14" s="208"/>
      <c r="L14" s="208"/>
      <c r="M14" s="208"/>
      <c r="N14" s="208"/>
      <c r="O14" s="208"/>
      <c r="P14" s="208"/>
      <c r="Q14" s="208"/>
      <c r="R14" s="208"/>
      <c r="S14" s="63"/>
      <c r="T14" s="63"/>
      <c r="U14" s="63"/>
      <c r="V14" s="63"/>
      <c r="W14" s="5"/>
      <c r="X14" s="5"/>
      <c r="Y14" s="5"/>
      <c r="Z14" s="5"/>
      <c r="AA14" s="5"/>
      <c r="AB14" s="5"/>
      <c r="AC14" s="5"/>
      <c r="AD14" s="5"/>
      <c r="AE14" s="5"/>
      <c r="AF14" s="5"/>
      <c r="AG14" s="5"/>
    </row>
    <row r="15" spans="1:33" s="1" customFormat="1" ht="15.5">
      <c r="A15" s="208" t="s">
        <v>402</v>
      </c>
      <c r="B15" s="208" t="s">
        <v>420</v>
      </c>
      <c r="C15" s="208" t="s">
        <v>435</v>
      </c>
      <c r="D15" s="208" t="s">
        <v>422</v>
      </c>
      <c r="E15" s="215" t="s">
        <v>423</v>
      </c>
      <c r="F15" s="208" t="s">
        <v>436</v>
      </c>
      <c r="G15" s="208"/>
      <c r="H15" s="208"/>
      <c r="I15" s="208"/>
      <c r="J15" s="208"/>
      <c r="K15" s="208"/>
      <c r="L15" s="208"/>
      <c r="M15" s="208"/>
      <c r="N15" s="208"/>
      <c r="O15" s="208"/>
      <c r="P15" s="208"/>
      <c r="Q15" s="208"/>
      <c r="R15" s="208"/>
      <c r="S15" s="63"/>
      <c r="T15" s="63"/>
      <c r="U15" s="63"/>
      <c r="V15" s="63"/>
      <c r="W15" s="5"/>
      <c r="X15" s="5"/>
      <c r="Y15" s="5"/>
      <c r="Z15" s="5"/>
      <c r="AA15" s="5"/>
      <c r="AB15" s="5"/>
      <c r="AC15" s="5"/>
      <c r="AD15" s="5"/>
      <c r="AE15" s="5"/>
      <c r="AF15" s="5"/>
      <c r="AG15" s="5"/>
    </row>
    <row r="16" spans="1:33" s="1" customFormat="1" ht="15.5">
      <c r="A16" s="208" t="s">
        <v>402</v>
      </c>
      <c r="B16" s="208" t="s">
        <v>420</v>
      </c>
      <c r="C16" s="208" t="s">
        <v>437</v>
      </c>
      <c r="D16" s="208" t="s">
        <v>422</v>
      </c>
      <c r="E16" s="215" t="s">
        <v>423</v>
      </c>
      <c r="F16" s="208" t="s">
        <v>438</v>
      </c>
      <c r="G16" s="208"/>
      <c r="H16" s="208"/>
      <c r="I16" s="208"/>
      <c r="J16" s="208"/>
      <c r="K16" s="208"/>
      <c r="L16" s="208"/>
      <c r="M16" s="208"/>
      <c r="N16" s="208"/>
      <c r="O16" s="208"/>
      <c r="P16" s="208"/>
      <c r="Q16" s="208"/>
      <c r="R16" s="208"/>
      <c r="S16" s="63"/>
      <c r="T16" s="63"/>
      <c r="U16" s="63"/>
      <c r="V16" s="63"/>
      <c r="W16" s="5"/>
      <c r="X16" s="5"/>
      <c r="Y16" s="5"/>
      <c r="Z16" s="5"/>
      <c r="AA16" s="5"/>
      <c r="AB16" s="5"/>
      <c r="AC16" s="5"/>
      <c r="AD16" s="5"/>
      <c r="AE16" s="5"/>
      <c r="AF16" s="5"/>
      <c r="AG16" s="5"/>
    </row>
    <row r="17" spans="1:33" s="1" customFormat="1" ht="15.5">
      <c r="A17" s="208" t="s">
        <v>402</v>
      </c>
      <c r="B17" s="208" t="s">
        <v>420</v>
      </c>
      <c r="C17" s="208" t="s">
        <v>439</v>
      </c>
      <c r="D17" s="208" t="s">
        <v>422</v>
      </c>
      <c r="E17" s="215" t="s">
        <v>423</v>
      </c>
      <c r="F17" s="208" t="s">
        <v>440</v>
      </c>
      <c r="G17" s="208"/>
      <c r="H17" s="208"/>
      <c r="I17" s="208"/>
      <c r="J17" s="208"/>
      <c r="K17" s="208"/>
      <c r="L17" s="208"/>
      <c r="M17" s="208"/>
      <c r="N17" s="208"/>
      <c r="O17" s="208"/>
      <c r="P17" s="208"/>
      <c r="Q17" s="208"/>
      <c r="R17" s="208"/>
      <c r="S17" s="63"/>
      <c r="T17" s="63"/>
      <c r="U17" s="63"/>
      <c r="V17" s="63"/>
      <c r="W17" s="5"/>
      <c r="X17" s="5"/>
      <c r="Y17" s="5"/>
      <c r="Z17" s="5"/>
      <c r="AA17" s="5"/>
      <c r="AB17" s="5"/>
      <c r="AC17" s="5"/>
      <c r="AD17" s="5"/>
      <c r="AE17" s="5"/>
      <c r="AF17" s="5"/>
      <c r="AG17" s="5"/>
    </row>
    <row r="18" spans="1:33" s="1" customFormat="1" ht="15.5">
      <c r="A18" s="208" t="s">
        <v>402</v>
      </c>
      <c r="B18" s="208" t="s">
        <v>420</v>
      </c>
      <c r="C18" s="208" t="s">
        <v>441</v>
      </c>
      <c r="D18" s="208" t="s">
        <v>422</v>
      </c>
      <c r="E18" s="215" t="s">
        <v>423</v>
      </c>
      <c r="F18" s="208" t="s">
        <v>442</v>
      </c>
      <c r="G18" s="208"/>
      <c r="H18" s="208"/>
      <c r="I18" s="208"/>
      <c r="J18" s="208"/>
      <c r="K18" s="208"/>
      <c r="L18" s="208"/>
      <c r="M18" s="208"/>
      <c r="N18" s="208"/>
      <c r="O18" s="208"/>
      <c r="P18" s="208"/>
      <c r="Q18" s="208"/>
      <c r="R18" s="208"/>
      <c r="S18" s="63"/>
      <c r="T18" s="63"/>
      <c r="U18" s="63"/>
      <c r="V18" s="63"/>
      <c r="W18" s="5"/>
      <c r="X18" s="5"/>
      <c r="Y18" s="5"/>
      <c r="Z18" s="5"/>
      <c r="AA18" s="5"/>
      <c r="AB18" s="5"/>
      <c r="AC18" s="5"/>
      <c r="AD18" s="5"/>
      <c r="AE18" s="5"/>
      <c r="AF18" s="5"/>
      <c r="AG18" s="5"/>
    </row>
    <row r="19" spans="1:33" s="1" customFormat="1" ht="15.5">
      <c r="A19" s="208" t="s">
        <v>402</v>
      </c>
      <c r="B19" s="208" t="s">
        <v>420</v>
      </c>
      <c r="C19" s="208" t="s">
        <v>443</v>
      </c>
      <c r="D19" s="208" t="s">
        <v>422</v>
      </c>
      <c r="E19" s="215" t="s">
        <v>423</v>
      </c>
      <c r="F19" s="208" t="s">
        <v>444</v>
      </c>
      <c r="G19" s="208"/>
      <c r="H19" s="208"/>
      <c r="I19" s="208"/>
      <c r="J19" s="208"/>
      <c r="K19" s="208"/>
      <c r="L19" s="208"/>
      <c r="M19" s="208"/>
      <c r="N19" s="208"/>
      <c r="O19" s="208"/>
      <c r="P19" s="208"/>
      <c r="Q19" s="208"/>
      <c r="R19" s="208"/>
      <c r="S19" s="63"/>
      <c r="T19" s="63"/>
      <c r="U19" s="63"/>
      <c r="V19" s="63"/>
      <c r="W19" s="5"/>
      <c r="X19" s="5"/>
      <c r="Y19" s="5"/>
      <c r="Z19" s="5"/>
      <c r="AA19" s="5"/>
      <c r="AB19" s="5"/>
      <c r="AC19" s="5"/>
      <c r="AD19" s="5"/>
      <c r="AE19" s="5"/>
      <c r="AF19" s="5"/>
      <c r="AG19" s="5"/>
    </row>
    <row r="20" spans="1:33" s="1" customFormat="1" ht="15.5">
      <c r="A20" s="208" t="s">
        <v>402</v>
      </c>
      <c r="B20" s="208" t="s">
        <v>2</v>
      </c>
      <c r="C20" s="208" t="s">
        <v>445</v>
      </c>
      <c r="D20" s="208" t="s">
        <v>422</v>
      </c>
      <c r="E20" s="215" t="s">
        <v>423</v>
      </c>
      <c r="F20" s="208" t="s">
        <v>446</v>
      </c>
      <c r="G20" s="208"/>
      <c r="H20" s="208"/>
      <c r="I20" s="208"/>
      <c r="J20" s="208"/>
      <c r="K20" s="208"/>
      <c r="L20" s="208"/>
      <c r="M20" s="208"/>
      <c r="N20" s="208"/>
      <c r="O20" s="208"/>
      <c r="P20" s="208"/>
      <c r="Q20" s="208"/>
      <c r="R20" s="208"/>
      <c r="S20" s="63"/>
      <c r="T20" s="63"/>
      <c r="U20" s="63"/>
      <c r="V20" s="63"/>
      <c r="W20" s="5"/>
      <c r="X20" s="5"/>
      <c r="Y20" s="5"/>
      <c r="Z20" s="5"/>
      <c r="AA20" s="5"/>
      <c r="AB20" s="5"/>
      <c r="AC20" s="5"/>
      <c r="AD20" s="5"/>
      <c r="AE20" s="5"/>
      <c r="AF20" s="5"/>
      <c r="AG20" s="5"/>
    </row>
    <row r="21" spans="1:33" s="1" customFormat="1" ht="15.5">
      <c r="A21" s="208" t="s">
        <v>402</v>
      </c>
      <c r="B21" s="208" t="s">
        <v>2</v>
      </c>
      <c r="C21" s="208" t="s">
        <v>447</v>
      </c>
      <c r="D21" s="208" t="s">
        <v>422</v>
      </c>
      <c r="E21" s="215" t="s">
        <v>423</v>
      </c>
      <c r="F21" s="208" t="s">
        <v>448</v>
      </c>
      <c r="G21" s="208"/>
      <c r="H21" s="208"/>
      <c r="I21" s="208"/>
      <c r="J21" s="208"/>
      <c r="K21" s="208"/>
      <c r="L21" s="208"/>
      <c r="M21" s="208"/>
      <c r="N21" s="208"/>
      <c r="O21" s="208"/>
      <c r="P21" s="208"/>
      <c r="Q21" s="208"/>
      <c r="R21" s="208"/>
      <c r="S21" s="63"/>
      <c r="T21" s="63"/>
      <c r="U21" s="63"/>
      <c r="V21" s="63"/>
      <c r="W21" s="5"/>
      <c r="X21" s="5"/>
      <c r="Y21" s="5"/>
      <c r="Z21" s="5"/>
      <c r="AA21" s="5"/>
      <c r="AB21" s="5"/>
      <c r="AC21" s="5"/>
      <c r="AD21" s="5"/>
      <c r="AE21" s="5"/>
      <c r="AF21" s="5"/>
      <c r="AG21" s="5"/>
    </row>
    <row r="22" spans="1:33" s="1" customFormat="1" ht="15.5">
      <c r="A22" s="208" t="s">
        <v>402</v>
      </c>
      <c r="B22" s="208" t="s">
        <v>2</v>
      </c>
      <c r="C22" s="208" t="s">
        <v>449</v>
      </c>
      <c r="D22" s="208" t="s">
        <v>422</v>
      </c>
      <c r="E22" s="215" t="s">
        <v>423</v>
      </c>
      <c r="F22" s="208" t="s">
        <v>450</v>
      </c>
      <c r="G22" s="208"/>
      <c r="H22" s="208"/>
      <c r="I22" s="208"/>
      <c r="J22" s="208"/>
      <c r="K22" s="208"/>
      <c r="L22" s="208"/>
      <c r="M22" s="208"/>
      <c r="N22" s="208"/>
      <c r="O22" s="208"/>
      <c r="P22" s="208"/>
      <c r="Q22" s="208"/>
      <c r="R22" s="208"/>
      <c r="S22" s="63"/>
      <c r="T22" s="63"/>
      <c r="U22" s="63"/>
      <c r="V22" s="63"/>
      <c r="W22" s="5"/>
      <c r="X22" s="5"/>
      <c r="Y22" s="5"/>
      <c r="Z22" s="5"/>
      <c r="AA22" s="5"/>
      <c r="AB22" s="5"/>
      <c r="AC22" s="5"/>
      <c r="AD22" s="5"/>
      <c r="AE22" s="5"/>
      <c r="AF22" s="5"/>
      <c r="AG22" s="5"/>
    </row>
    <row r="23" spans="1:33" s="1" customFormat="1" ht="15.5">
      <c r="A23" s="208" t="s">
        <v>402</v>
      </c>
      <c r="B23" s="208" t="s">
        <v>2</v>
      </c>
      <c r="C23" s="208" t="s">
        <v>451</v>
      </c>
      <c r="D23" s="208" t="s">
        <v>422</v>
      </c>
      <c r="E23" s="215" t="s">
        <v>423</v>
      </c>
      <c r="F23" s="208" t="s">
        <v>452</v>
      </c>
      <c r="G23" s="208"/>
      <c r="H23" s="208"/>
      <c r="I23" s="208"/>
      <c r="J23" s="208"/>
      <c r="K23" s="208"/>
      <c r="L23" s="208"/>
      <c r="M23" s="208"/>
      <c r="N23" s="208"/>
      <c r="O23" s="208"/>
      <c r="P23" s="208"/>
      <c r="Q23" s="208"/>
      <c r="R23" s="208"/>
      <c r="S23" s="63"/>
      <c r="T23" s="63"/>
      <c r="U23" s="63"/>
      <c r="V23" s="63"/>
      <c r="W23" s="5"/>
      <c r="X23" s="5"/>
      <c r="Y23" s="5"/>
      <c r="Z23" s="5"/>
      <c r="AA23" s="5"/>
      <c r="AB23" s="5"/>
      <c r="AC23" s="5"/>
      <c r="AD23" s="5"/>
      <c r="AE23" s="5"/>
      <c r="AF23" s="5"/>
      <c r="AG23" s="5"/>
    </row>
    <row r="24" spans="1:33" s="1" customFormat="1" ht="15.5">
      <c r="A24" s="208" t="s">
        <v>402</v>
      </c>
      <c r="B24" s="208" t="s">
        <v>2</v>
      </c>
      <c r="C24" s="208" t="s">
        <v>453</v>
      </c>
      <c r="D24" s="208" t="s">
        <v>422</v>
      </c>
      <c r="E24" s="215" t="s">
        <v>423</v>
      </c>
      <c r="F24" s="208" t="s">
        <v>454</v>
      </c>
      <c r="G24" s="208"/>
      <c r="H24" s="208"/>
      <c r="I24" s="208"/>
      <c r="J24" s="208"/>
      <c r="K24" s="208"/>
      <c r="L24" s="208"/>
      <c r="M24" s="208"/>
      <c r="N24" s="208"/>
      <c r="O24" s="208"/>
      <c r="P24" s="208"/>
      <c r="Q24" s="208"/>
      <c r="R24" s="208"/>
      <c r="S24" s="63"/>
      <c r="T24" s="63"/>
      <c r="U24" s="63"/>
      <c r="V24" s="63"/>
      <c r="W24" s="5"/>
      <c r="X24" s="5"/>
      <c r="Y24" s="5"/>
      <c r="Z24" s="5"/>
      <c r="AA24" s="5"/>
      <c r="AB24" s="5"/>
      <c r="AC24" s="5"/>
      <c r="AD24" s="5"/>
      <c r="AE24" s="5"/>
      <c r="AF24" s="5"/>
      <c r="AG24" s="5"/>
    </row>
    <row r="25" spans="1:33" s="1" customFormat="1" ht="15.5">
      <c r="A25" s="208" t="s">
        <v>402</v>
      </c>
      <c r="B25" s="208" t="s">
        <v>2</v>
      </c>
      <c r="C25" s="208" t="s">
        <v>455</v>
      </c>
      <c r="D25" s="208" t="s">
        <v>422</v>
      </c>
      <c r="E25" s="215" t="s">
        <v>423</v>
      </c>
      <c r="F25" s="208" t="s">
        <v>456</v>
      </c>
      <c r="G25" s="208"/>
      <c r="H25" s="208"/>
      <c r="I25" s="208"/>
      <c r="J25" s="208"/>
      <c r="K25" s="208"/>
      <c r="L25" s="208"/>
      <c r="M25" s="208"/>
      <c r="N25" s="208"/>
      <c r="O25" s="208"/>
      <c r="P25" s="208"/>
      <c r="Q25" s="208"/>
      <c r="R25" s="208"/>
      <c r="S25" s="63"/>
      <c r="T25" s="63"/>
      <c r="U25" s="63"/>
      <c r="V25" s="63"/>
      <c r="W25" s="5"/>
      <c r="X25" s="5"/>
      <c r="Y25" s="5"/>
      <c r="Z25" s="5"/>
      <c r="AA25" s="5"/>
      <c r="AB25" s="5"/>
      <c r="AC25" s="5"/>
      <c r="AD25" s="5"/>
      <c r="AE25" s="5"/>
      <c r="AF25" s="5"/>
      <c r="AG25" s="5"/>
    </row>
    <row r="26" spans="1:33" s="1" customFormat="1" ht="15.5">
      <c r="A26" s="208" t="s">
        <v>402</v>
      </c>
      <c r="B26" s="208" t="s">
        <v>2</v>
      </c>
      <c r="C26" s="208" t="s">
        <v>457</v>
      </c>
      <c r="D26" s="208" t="s">
        <v>422</v>
      </c>
      <c r="E26" s="215" t="s">
        <v>423</v>
      </c>
      <c r="F26" s="208" t="s">
        <v>458</v>
      </c>
      <c r="G26" s="208"/>
      <c r="H26" s="208"/>
      <c r="I26" s="208"/>
      <c r="J26" s="208"/>
      <c r="K26" s="208"/>
      <c r="L26" s="208"/>
      <c r="M26" s="208"/>
      <c r="N26" s="208"/>
      <c r="O26" s="208"/>
      <c r="P26" s="208"/>
      <c r="Q26" s="208"/>
      <c r="R26" s="208"/>
      <c r="S26" s="63"/>
      <c r="T26" s="63"/>
      <c r="U26" s="63"/>
      <c r="V26" s="63"/>
      <c r="W26" s="5"/>
      <c r="X26" s="5"/>
      <c r="Y26" s="5"/>
      <c r="Z26" s="5"/>
      <c r="AA26" s="5"/>
      <c r="AB26" s="5"/>
      <c r="AC26" s="5"/>
      <c r="AD26" s="5"/>
      <c r="AE26" s="5"/>
      <c r="AF26" s="5"/>
      <c r="AG26" s="5"/>
    </row>
    <row r="27" spans="1:33" s="1" customFormat="1" ht="15.5">
      <c r="A27" s="208" t="s">
        <v>402</v>
      </c>
      <c r="B27" s="208" t="s">
        <v>2</v>
      </c>
      <c r="C27" s="208" t="s">
        <v>459</v>
      </c>
      <c r="D27" s="208" t="s">
        <v>422</v>
      </c>
      <c r="E27" s="215" t="s">
        <v>423</v>
      </c>
      <c r="F27" s="208" t="s">
        <v>460</v>
      </c>
      <c r="G27" s="208"/>
      <c r="H27" s="208"/>
      <c r="I27" s="208"/>
      <c r="J27" s="208"/>
      <c r="K27" s="208"/>
      <c r="L27" s="208"/>
      <c r="M27" s="208"/>
      <c r="N27" s="208"/>
      <c r="O27" s="208"/>
      <c r="P27" s="208"/>
      <c r="Q27" s="208"/>
      <c r="R27" s="208"/>
      <c r="S27" s="63"/>
      <c r="T27" s="63"/>
      <c r="U27" s="63"/>
      <c r="V27" s="63"/>
      <c r="W27" s="5"/>
      <c r="X27" s="5"/>
      <c r="Y27" s="5"/>
      <c r="Z27" s="5"/>
      <c r="AA27" s="5"/>
      <c r="AB27" s="5"/>
      <c r="AC27" s="5"/>
      <c r="AD27" s="5"/>
      <c r="AE27" s="5"/>
      <c r="AF27" s="5"/>
      <c r="AG27" s="5"/>
    </row>
    <row r="28" spans="1:33" s="1" customFormat="1" ht="15.5">
      <c r="A28" s="208" t="s">
        <v>402</v>
      </c>
      <c r="B28" s="208" t="s">
        <v>2</v>
      </c>
      <c r="C28" s="208" t="s">
        <v>461</v>
      </c>
      <c r="D28" s="208" t="s">
        <v>422</v>
      </c>
      <c r="E28" s="215" t="s">
        <v>423</v>
      </c>
      <c r="F28" s="208" t="s">
        <v>462</v>
      </c>
      <c r="G28" s="208"/>
      <c r="H28" s="208"/>
      <c r="I28" s="208"/>
      <c r="J28" s="208"/>
      <c r="K28" s="208"/>
      <c r="L28" s="208"/>
      <c r="M28" s="208"/>
      <c r="N28" s="208"/>
      <c r="O28" s="208"/>
      <c r="P28" s="208"/>
      <c r="Q28" s="208"/>
      <c r="R28" s="208"/>
      <c r="S28" s="63"/>
      <c r="T28" s="63"/>
      <c r="U28" s="63"/>
      <c r="V28" s="63"/>
      <c r="W28" s="5"/>
      <c r="X28" s="5"/>
      <c r="Y28" s="5"/>
      <c r="Z28" s="5"/>
      <c r="AA28" s="5"/>
      <c r="AB28" s="5"/>
      <c r="AC28" s="5"/>
      <c r="AD28" s="5"/>
      <c r="AE28" s="5"/>
      <c r="AF28" s="5"/>
      <c r="AG28" s="5"/>
    </row>
    <row r="29" spans="1:33" s="1" customFormat="1" ht="15.5">
      <c r="A29" s="208" t="s">
        <v>402</v>
      </c>
      <c r="B29" s="208" t="s">
        <v>2</v>
      </c>
      <c r="C29" s="208" t="s">
        <v>463</v>
      </c>
      <c r="D29" s="208" t="s">
        <v>422</v>
      </c>
      <c r="E29" s="215" t="s">
        <v>423</v>
      </c>
      <c r="F29" s="208" t="s">
        <v>464</v>
      </c>
      <c r="G29" s="208"/>
      <c r="H29" s="208"/>
      <c r="I29" s="208"/>
      <c r="J29" s="208"/>
      <c r="K29" s="208"/>
      <c r="L29" s="208"/>
      <c r="M29" s="208"/>
      <c r="N29" s="208"/>
      <c r="O29" s="208"/>
      <c r="P29" s="208"/>
      <c r="Q29" s="208"/>
      <c r="R29" s="208"/>
      <c r="S29" s="63"/>
      <c r="T29" s="63"/>
      <c r="U29" s="63"/>
      <c r="V29" s="63"/>
      <c r="W29" s="5"/>
      <c r="X29" s="5"/>
      <c r="Y29" s="5"/>
      <c r="Z29" s="5"/>
      <c r="AA29" s="5"/>
      <c r="AB29" s="5"/>
      <c r="AC29" s="5"/>
      <c r="AD29" s="5"/>
      <c r="AE29" s="5"/>
      <c r="AF29" s="5"/>
      <c r="AG29" s="5"/>
    </row>
    <row r="30" spans="1:33" s="1" customFormat="1" ht="15.5">
      <c r="A30" s="208" t="s">
        <v>402</v>
      </c>
      <c r="B30" s="208" t="s">
        <v>2</v>
      </c>
      <c r="C30" s="208" t="s">
        <v>465</v>
      </c>
      <c r="D30" s="208" t="s">
        <v>422</v>
      </c>
      <c r="E30" s="215" t="s">
        <v>423</v>
      </c>
      <c r="F30" s="208" t="s">
        <v>466</v>
      </c>
      <c r="G30" s="208"/>
      <c r="H30" s="208"/>
      <c r="I30" s="208"/>
      <c r="J30" s="208"/>
      <c r="K30" s="208"/>
      <c r="L30" s="208"/>
      <c r="M30" s="208"/>
      <c r="N30" s="208"/>
      <c r="O30" s="208"/>
      <c r="P30" s="208"/>
      <c r="Q30" s="208"/>
      <c r="R30" s="208"/>
      <c r="S30" s="63"/>
      <c r="T30" s="63"/>
      <c r="U30" s="63"/>
      <c r="V30" s="63"/>
      <c r="W30" s="5"/>
      <c r="X30" s="5"/>
      <c r="Y30" s="5"/>
      <c r="Z30" s="5"/>
      <c r="AA30" s="5"/>
      <c r="AB30" s="5"/>
      <c r="AC30" s="5"/>
      <c r="AD30" s="5"/>
      <c r="AE30" s="5"/>
      <c r="AF30" s="5"/>
      <c r="AG30" s="5"/>
    </row>
    <row r="31" spans="1:33" s="1" customFormat="1" ht="15.5">
      <c r="A31" s="208" t="s">
        <v>402</v>
      </c>
      <c r="B31" s="208" t="s">
        <v>2</v>
      </c>
      <c r="C31" s="208" t="s">
        <v>467</v>
      </c>
      <c r="D31" s="208" t="s">
        <v>422</v>
      </c>
      <c r="E31" s="215" t="s">
        <v>423</v>
      </c>
      <c r="F31" s="208" t="s">
        <v>468</v>
      </c>
      <c r="G31" s="208"/>
      <c r="H31" s="208"/>
      <c r="I31" s="208"/>
      <c r="J31" s="208"/>
      <c r="K31" s="208"/>
      <c r="L31" s="208"/>
      <c r="M31" s="208"/>
      <c r="N31" s="208"/>
      <c r="O31" s="208"/>
      <c r="P31" s="208"/>
      <c r="Q31" s="208"/>
      <c r="R31" s="208"/>
      <c r="S31" s="63"/>
      <c r="T31" s="63"/>
      <c r="U31" s="63"/>
      <c r="V31" s="63"/>
      <c r="W31" s="5"/>
      <c r="X31" s="5"/>
      <c r="Y31" s="5"/>
      <c r="Z31" s="5"/>
      <c r="AA31" s="5"/>
      <c r="AB31" s="5"/>
      <c r="AC31" s="5"/>
      <c r="AD31" s="5"/>
      <c r="AE31" s="5"/>
      <c r="AF31" s="5"/>
      <c r="AG31" s="5"/>
    </row>
    <row r="32" spans="1:33" s="42" customFormat="1" ht="15.5">
      <c r="A32" s="208" t="s">
        <v>402</v>
      </c>
      <c r="B32" s="216" t="s">
        <v>2</v>
      </c>
      <c r="C32" s="216" t="s">
        <v>469</v>
      </c>
      <c r="D32" s="216" t="s">
        <v>422</v>
      </c>
      <c r="E32" s="217" t="s">
        <v>423</v>
      </c>
      <c r="F32" s="216" t="s">
        <v>470</v>
      </c>
      <c r="G32" s="216"/>
      <c r="H32" s="216"/>
      <c r="I32" s="216"/>
      <c r="J32" s="208"/>
      <c r="K32" s="216"/>
      <c r="L32" s="216"/>
      <c r="M32" s="216"/>
      <c r="N32" s="216"/>
      <c r="O32" s="216"/>
      <c r="P32" s="216"/>
      <c r="Q32" s="216"/>
      <c r="R32" s="216"/>
      <c r="S32" s="77"/>
      <c r="T32" s="77"/>
      <c r="U32" s="77"/>
      <c r="V32" s="77"/>
      <c r="W32" s="53"/>
      <c r="X32" s="53"/>
      <c r="Y32" s="53"/>
      <c r="Z32" s="53"/>
      <c r="AA32" s="53"/>
      <c r="AB32" s="53"/>
      <c r="AC32" s="53"/>
      <c r="AD32" s="53"/>
      <c r="AE32" s="53"/>
      <c r="AF32" s="53"/>
      <c r="AG32" s="53"/>
    </row>
    <row r="33" spans="1:33" s="42" customFormat="1" ht="15.5">
      <c r="A33" s="216" t="s">
        <v>402</v>
      </c>
      <c r="B33" s="216" t="s">
        <v>2</v>
      </c>
      <c r="C33" s="216" t="s">
        <v>471</v>
      </c>
      <c r="D33" s="216" t="s">
        <v>422</v>
      </c>
      <c r="E33" s="217" t="s">
        <v>423</v>
      </c>
      <c r="F33" s="216" t="s">
        <v>472</v>
      </c>
      <c r="G33" s="216"/>
      <c r="H33" s="216"/>
      <c r="I33" s="216"/>
      <c r="J33" s="208"/>
      <c r="K33" s="216"/>
      <c r="L33" s="216"/>
      <c r="M33" s="216"/>
      <c r="N33" s="216"/>
      <c r="O33" s="216"/>
      <c r="P33" s="216"/>
      <c r="Q33" s="216"/>
      <c r="R33" s="216"/>
      <c r="S33" s="77"/>
      <c r="T33" s="77"/>
      <c r="U33" s="77"/>
      <c r="V33" s="77"/>
      <c r="W33" s="53"/>
      <c r="X33" s="53"/>
      <c r="Y33" s="53"/>
      <c r="Z33" s="53"/>
      <c r="AA33" s="53"/>
      <c r="AB33" s="53"/>
      <c r="AC33" s="53"/>
      <c r="AD33" s="53"/>
      <c r="AE33" s="53"/>
      <c r="AF33" s="53"/>
      <c r="AG33" s="53"/>
    </row>
    <row r="34" spans="1:33" s="42" customFormat="1" ht="15.5">
      <c r="A34" s="216" t="s">
        <v>402</v>
      </c>
      <c r="B34" s="216" t="s">
        <v>2</v>
      </c>
      <c r="C34" s="216" t="s">
        <v>473</v>
      </c>
      <c r="D34" s="216" t="s">
        <v>422</v>
      </c>
      <c r="E34" s="217" t="s">
        <v>423</v>
      </c>
      <c r="F34" s="216" t="s">
        <v>474</v>
      </c>
      <c r="G34" s="216"/>
      <c r="H34" s="216"/>
      <c r="I34" s="216"/>
      <c r="J34" s="208"/>
      <c r="K34" s="216"/>
      <c r="L34" s="216"/>
      <c r="M34" s="216"/>
      <c r="N34" s="216"/>
      <c r="O34" s="216"/>
      <c r="P34" s="216"/>
      <c r="Q34" s="216"/>
      <c r="R34" s="216"/>
      <c r="S34" s="77"/>
      <c r="T34" s="77"/>
      <c r="U34" s="77"/>
      <c r="V34" s="77"/>
      <c r="W34" s="53"/>
      <c r="X34" s="53"/>
      <c r="Y34" s="53"/>
      <c r="Z34" s="53"/>
      <c r="AA34" s="53"/>
      <c r="AB34" s="53"/>
      <c r="AC34" s="53"/>
      <c r="AD34" s="53"/>
      <c r="AE34" s="53"/>
      <c r="AF34" s="53"/>
      <c r="AG34" s="53"/>
    </row>
    <row r="35" spans="1:33" s="1" customFormat="1" ht="15.5">
      <c r="A35" s="216" t="s">
        <v>402</v>
      </c>
      <c r="B35" s="208" t="s">
        <v>2</v>
      </c>
      <c r="C35" s="208" t="s">
        <v>475</v>
      </c>
      <c r="D35" s="208" t="s">
        <v>422</v>
      </c>
      <c r="E35" s="215" t="s">
        <v>423</v>
      </c>
      <c r="F35" s="208" t="s">
        <v>476</v>
      </c>
      <c r="G35" s="208"/>
      <c r="H35" s="208"/>
      <c r="I35" s="208"/>
      <c r="J35" s="208"/>
      <c r="K35" s="208"/>
      <c r="L35" s="208"/>
      <c r="M35" s="208"/>
      <c r="N35" s="208"/>
      <c r="O35" s="208"/>
      <c r="P35" s="208"/>
      <c r="Q35" s="208"/>
      <c r="R35" s="208"/>
      <c r="S35" s="63"/>
      <c r="T35" s="63"/>
      <c r="U35" s="63"/>
      <c r="V35" s="63"/>
      <c r="W35" s="5"/>
      <c r="X35" s="5"/>
      <c r="Y35" s="5"/>
      <c r="Z35" s="5"/>
      <c r="AA35" s="5"/>
      <c r="AB35" s="5"/>
      <c r="AC35" s="5"/>
      <c r="AD35" s="5"/>
      <c r="AE35" s="5"/>
      <c r="AF35" s="5"/>
      <c r="AG35" s="5"/>
    </row>
    <row r="36" spans="1:33" s="42" customFormat="1" ht="15.5">
      <c r="A36" s="208" t="s">
        <v>402</v>
      </c>
      <c r="B36" s="216" t="s">
        <v>2</v>
      </c>
      <c r="C36" s="216" t="s">
        <v>477</v>
      </c>
      <c r="D36" s="216" t="s">
        <v>422</v>
      </c>
      <c r="E36" s="217" t="s">
        <v>423</v>
      </c>
      <c r="F36" s="216" t="s">
        <v>478</v>
      </c>
      <c r="G36" s="216"/>
      <c r="H36" s="216"/>
      <c r="I36" s="216"/>
      <c r="J36" s="208"/>
      <c r="K36" s="216"/>
      <c r="L36" s="216"/>
      <c r="M36" s="216"/>
      <c r="N36" s="216"/>
      <c r="O36" s="216"/>
      <c r="P36" s="216"/>
      <c r="Q36" s="216"/>
      <c r="R36" s="216"/>
      <c r="S36" s="77"/>
      <c r="T36" s="77"/>
      <c r="U36" s="77"/>
      <c r="V36" s="77"/>
      <c r="W36" s="53"/>
      <c r="X36" s="53"/>
      <c r="Y36" s="53"/>
      <c r="Z36" s="53"/>
      <c r="AA36" s="53"/>
      <c r="AB36" s="53"/>
      <c r="AC36" s="53"/>
      <c r="AD36" s="53"/>
      <c r="AE36" s="53"/>
      <c r="AF36" s="53"/>
      <c r="AG36" s="53"/>
    </row>
    <row r="37" spans="1:33" s="42" customFormat="1" ht="15.5">
      <c r="A37" s="216" t="s">
        <v>402</v>
      </c>
      <c r="B37" s="216" t="s">
        <v>2</v>
      </c>
      <c r="C37" s="216" t="s">
        <v>479</v>
      </c>
      <c r="D37" s="216" t="s">
        <v>422</v>
      </c>
      <c r="E37" s="217" t="s">
        <v>423</v>
      </c>
      <c r="F37" s="216" t="s">
        <v>480</v>
      </c>
      <c r="G37" s="216"/>
      <c r="H37" s="216"/>
      <c r="I37" s="216"/>
      <c r="J37" s="208"/>
      <c r="K37" s="216"/>
      <c r="L37" s="216"/>
      <c r="M37" s="216"/>
      <c r="N37" s="216"/>
      <c r="O37" s="216"/>
      <c r="P37" s="216"/>
      <c r="Q37" s="216"/>
      <c r="R37" s="216"/>
      <c r="S37" s="77"/>
      <c r="T37" s="77"/>
      <c r="U37" s="77"/>
      <c r="V37" s="77"/>
      <c r="W37" s="53"/>
      <c r="X37" s="53"/>
      <c r="Y37" s="53"/>
      <c r="Z37" s="53"/>
      <c r="AA37" s="53"/>
      <c r="AB37" s="53"/>
      <c r="AC37" s="53"/>
      <c r="AD37" s="53"/>
      <c r="AE37" s="53"/>
      <c r="AF37" s="53"/>
      <c r="AG37" s="53"/>
    </row>
    <row r="38" spans="1:33" s="1" customFormat="1" ht="15.5">
      <c r="A38" s="216" t="s">
        <v>402</v>
      </c>
      <c r="B38" s="208" t="s">
        <v>2</v>
      </c>
      <c r="C38" s="208" t="s">
        <v>481</v>
      </c>
      <c r="D38" s="208" t="s">
        <v>422</v>
      </c>
      <c r="E38" s="215" t="s">
        <v>423</v>
      </c>
      <c r="F38" s="208" t="s">
        <v>482</v>
      </c>
      <c r="G38" s="208"/>
      <c r="H38" s="208"/>
      <c r="I38" s="208"/>
      <c r="J38" s="208"/>
      <c r="K38" s="208"/>
      <c r="L38" s="208"/>
      <c r="M38" s="208"/>
      <c r="N38" s="208"/>
      <c r="O38" s="208"/>
      <c r="P38" s="208"/>
      <c r="Q38" s="208"/>
      <c r="R38" s="208"/>
      <c r="S38" s="63"/>
      <c r="T38" s="63"/>
      <c r="U38" s="63"/>
      <c r="V38" s="63"/>
      <c r="W38" s="5"/>
      <c r="X38" s="5"/>
      <c r="Y38" s="5"/>
      <c r="Z38" s="5"/>
      <c r="AA38" s="5"/>
      <c r="AB38" s="5"/>
      <c r="AC38" s="5"/>
      <c r="AD38" s="5"/>
      <c r="AE38" s="5"/>
      <c r="AF38" s="5"/>
      <c r="AG38" s="5"/>
    </row>
    <row r="39" spans="1:33" s="42" customFormat="1" ht="15.5">
      <c r="A39" s="208" t="s">
        <v>402</v>
      </c>
      <c r="B39" s="216" t="s">
        <v>2</v>
      </c>
      <c r="C39" s="216" t="s">
        <v>483</v>
      </c>
      <c r="D39" s="216" t="s">
        <v>422</v>
      </c>
      <c r="E39" s="217" t="s">
        <v>423</v>
      </c>
      <c r="F39" s="216" t="s">
        <v>484</v>
      </c>
      <c r="G39" s="216"/>
      <c r="H39" s="216"/>
      <c r="I39" s="216"/>
      <c r="J39" s="208"/>
      <c r="K39" s="216"/>
      <c r="L39" s="216"/>
      <c r="M39" s="216"/>
      <c r="N39" s="216"/>
      <c r="O39" s="216"/>
      <c r="P39" s="216"/>
      <c r="Q39" s="216"/>
      <c r="R39" s="216"/>
      <c r="S39" s="77"/>
      <c r="T39" s="77"/>
      <c r="U39" s="77"/>
      <c r="V39" s="77"/>
      <c r="W39" s="53"/>
      <c r="X39" s="53"/>
      <c r="Y39" s="53"/>
      <c r="Z39" s="53"/>
      <c r="AA39" s="53"/>
      <c r="AB39" s="53"/>
      <c r="AC39" s="53"/>
      <c r="AD39" s="53"/>
      <c r="AE39" s="53"/>
      <c r="AF39" s="53"/>
      <c r="AG39" s="53"/>
    </row>
    <row r="40" spans="1:33" s="42" customFormat="1" ht="15.5">
      <c r="A40" s="216" t="s">
        <v>402</v>
      </c>
      <c r="B40" s="216" t="s">
        <v>2</v>
      </c>
      <c r="C40" s="216" t="s">
        <v>485</v>
      </c>
      <c r="D40" s="216" t="s">
        <v>422</v>
      </c>
      <c r="E40" s="217" t="s">
        <v>423</v>
      </c>
      <c r="F40" s="216" t="s">
        <v>486</v>
      </c>
      <c r="G40" s="216"/>
      <c r="H40" s="216"/>
      <c r="I40" s="216"/>
      <c r="J40" s="208"/>
      <c r="K40" s="216"/>
      <c r="L40" s="216"/>
      <c r="M40" s="216"/>
      <c r="N40" s="216"/>
      <c r="O40" s="216"/>
      <c r="P40" s="216"/>
      <c r="Q40" s="216"/>
      <c r="R40" s="216"/>
      <c r="S40" s="77"/>
      <c r="T40" s="77"/>
      <c r="U40" s="77"/>
      <c r="V40" s="77"/>
      <c r="W40" s="53"/>
      <c r="X40" s="53"/>
      <c r="Y40" s="53"/>
      <c r="Z40" s="53"/>
      <c r="AA40" s="53"/>
      <c r="AB40" s="53"/>
      <c r="AC40" s="53"/>
      <c r="AD40" s="53"/>
      <c r="AE40" s="53"/>
      <c r="AF40" s="53"/>
      <c r="AG40" s="53"/>
    </row>
    <row r="41" spans="1:33" s="42" customFormat="1" ht="15.5">
      <c r="A41" s="216" t="s">
        <v>402</v>
      </c>
      <c r="B41" s="216" t="s">
        <v>487</v>
      </c>
      <c r="C41" s="216" t="s">
        <v>488</v>
      </c>
      <c r="D41" s="216" t="s">
        <v>422</v>
      </c>
      <c r="E41" s="217" t="s">
        <v>423</v>
      </c>
      <c r="F41" s="216" t="s">
        <v>489</v>
      </c>
      <c r="G41" s="216"/>
      <c r="H41" s="216"/>
      <c r="I41" s="216"/>
      <c r="J41" s="208"/>
      <c r="K41" s="216"/>
      <c r="L41" s="216"/>
      <c r="M41" s="216"/>
      <c r="N41" s="216"/>
      <c r="O41" s="216"/>
      <c r="P41" s="216"/>
      <c r="Q41" s="216"/>
      <c r="R41" s="216"/>
      <c r="S41" s="77"/>
      <c r="T41" s="77"/>
      <c r="U41" s="77"/>
      <c r="V41" s="77"/>
      <c r="W41" s="53"/>
      <c r="X41" s="53"/>
      <c r="Y41" s="53"/>
      <c r="Z41" s="53"/>
      <c r="AA41" s="53"/>
      <c r="AB41" s="53"/>
      <c r="AC41" s="53"/>
      <c r="AD41" s="53"/>
      <c r="AE41" s="53"/>
      <c r="AF41" s="53"/>
      <c r="AG41" s="53"/>
    </row>
    <row r="42" spans="1:33" s="1" customFormat="1" ht="15.5">
      <c r="A42" s="216" t="s">
        <v>402</v>
      </c>
      <c r="B42" s="208" t="s">
        <v>490</v>
      </c>
      <c r="C42" s="208" t="s">
        <v>491</v>
      </c>
      <c r="D42" s="208" t="s">
        <v>422</v>
      </c>
      <c r="E42" s="215" t="s">
        <v>423</v>
      </c>
      <c r="F42" s="208" t="s">
        <v>492</v>
      </c>
      <c r="G42" s="208"/>
      <c r="H42" s="208"/>
      <c r="I42" s="208"/>
      <c r="J42" s="208"/>
      <c r="K42" s="208"/>
      <c r="L42" s="208"/>
      <c r="M42" s="208"/>
      <c r="N42" s="208"/>
      <c r="O42" s="208"/>
      <c r="P42" s="208"/>
      <c r="Q42" s="208"/>
      <c r="R42" s="208"/>
      <c r="S42" s="63"/>
      <c r="T42" s="63"/>
      <c r="U42" s="63"/>
      <c r="V42" s="63"/>
      <c r="W42" s="5"/>
      <c r="X42" s="5"/>
      <c r="Y42" s="5"/>
      <c r="Z42" s="5"/>
      <c r="AA42" s="5"/>
      <c r="AB42" s="5"/>
      <c r="AC42" s="5"/>
      <c r="AD42" s="5"/>
      <c r="AE42" s="5"/>
      <c r="AF42" s="5"/>
      <c r="AG42" s="5"/>
    </row>
    <row r="43" spans="1:33" s="1" customFormat="1" ht="15.5">
      <c r="A43" s="208" t="s">
        <v>402</v>
      </c>
      <c r="B43" s="208" t="s">
        <v>490</v>
      </c>
      <c r="C43" s="208" t="s">
        <v>493</v>
      </c>
      <c r="D43" s="208" t="s">
        <v>422</v>
      </c>
      <c r="E43" s="215" t="s">
        <v>423</v>
      </c>
      <c r="F43" s="208" t="s">
        <v>494</v>
      </c>
      <c r="G43" s="208"/>
      <c r="H43" s="208"/>
      <c r="I43" s="208"/>
      <c r="J43" s="208"/>
      <c r="K43" s="208"/>
      <c r="L43" s="208"/>
      <c r="M43" s="208"/>
      <c r="N43" s="208"/>
      <c r="O43" s="208"/>
      <c r="P43" s="208"/>
      <c r="Q43" s="208"/>
      <c r="R43" s="208"/>
      <c r="S43" s="63"/>
      <c r="T43" s="63"/>
      <c r="U43" s="63"/>
      <c r="V43" s="63"/>
      <c r="W43" s="5"/>
      <c r="X43" s="5"/>
      <c r="Y43" s="5"/>
      <c r="Z43" s="5"/>
      <c r="AA43" s="5"/>
      <c r="AB43" s="5"/>
      <c r="AC43" s="5"/>
      <c r="AD43" s="5"/>
      <c r="AE43" s="5"/>
      <c r="AF43" s="5"/>
      <c r="AG43" s="5"/>
    </row>
    <row r="44" spans="1:33" s="1" customFormat="1" ht="15.5">
      <c r="A44" s="208" t="s">
        <v>402</v>
      </c>
      <c r="B44" s="208" t="s">
        <v>490</v>
      </c>
      <c r="C44" s="208" t="s">
        <v>495</v>
      </c>
      <c r="D44" s="208" t="s">
        <v>422</v>
      </c>
      <c r="E44" s="215" t="s">
        <v>423</v>
      </c>
      <c r="F44" s="208" t="s">
        <v>496</v>
      </c>
      <c r="G44" s="208"/>
      <c r="H44" s="208"/>
      <c r="I44" s="208"/>
      <c r="J44" s="208"/>
      <c r="K44" s="208"/>
      <c r="L44" s="208"/>
      <c r="M44" s="208"/>
      <c r="N44" s="208"/>
      <c r="O44" s="208"/>
      <c r="P44" s="208"/>
      <c r="Q44" s="208"/>
      <c r="R44" s="208"/>
      <c r="S44" s="63"/>
      <c r="T44" s="63"/>
      <c r="U44" s="63"/>
      <c r="V44" s="63"/>
      <c r="W44" s="5"/>
      <c r="X44" s="5"/>
      <c r="Y44" s="5"/>
      <c r="Z44" s="5"/>
      <c r="AA44" s="5"/>
      <c r="AB44" s="5"/>
      <c r="AC44" s="5"/>
      <c r="AD44" s="5"/>
      <c r="AE44" s="5"/>
      <c r="AF44" s="5"/>
      <c r="AG44" s="5"/>
    </row>
    <row r="45" spans="1:33" s="1" customFormat="1" ht="15.5">
      <c r="A45" s="208" t="s">
        <v>402</v>
      </c>
      <c r="B45" s="208" t="s">
        <v>490</v>
      </c>
      <c r="C45" s="208" t="s">
        <v>497</v>
      </c>
      <c r="D45" s="208" t="s">
        <v>422</v>
      </c>
      <c r="E45" s="215" t="s">
        <v>423</v>
      </c>
      <c r="F45" s="208" t="s">
        <v>498</v>
      </c>
      <c r="G45" s="208"/>
      <c r="H45" s="208"/>
      <c r="I45" s="208"/>
      <c r="J45" s="208"/>
      <c r="K45" s="208"/>
      <c r="L45" s="208"/>
      <c r="M45" s="208"/>
      <c r="N45" s="208"/>
      <c r="O45" s="208"/>
      <c r="P45" s="208"/>
      <c r="Q45" s="208"/>
      <c r="R45" s="208"/>
      <c r="S45" s="63"/>
      <c r="T45" s="63"/>
      <c r="U45" s="63"/>
      <c r="V45" s="63"/>
      <c r="W45" s="5"/>
      <c r="X45" s="5"/>
      <c r="Y45" s="5"/>
      <c r="Z45" s="5"/>
      <c r="AA45" s="5"/>
      <c r="AB45" s="5"/>
      <c r="AC45" s="5"/>
      <c r="AD45" s="5"/>
      <c r="AE45" s="5"/>
      <c r="AF45" s="5"/>
      <c r="AG45" s="5"/>
    </row>
    <row r="46" spans="1:33" s="1" customFormat="1" ht="15.5">
      <c r="A46" s="208" t="s">
        <v>402</v>
      </c>
      <c r="B46" s="208" t="s">
        <v>490</v>
      </c>
      <c r="C46" s="208" t="s">
        <v>499</v>
      </c>
      <c r="D46" s="208" t="s">
        <v>422</v>
      </c>
      <c r="E46" s="215" t="s">
        <v>423</v>
      </c>
      <c r="F46" s="208" t="s">
        <v>500</v>
      </c>
      <c r="G46" s="208"/>
      <c r="H46" s="208"/>
      <c r="I46" s="208"/>
      <c r="J46" s="208"/>
      <c r="K46" s="208"/>
      <c r="L46" s="208"/>
      <c r="M46" s="208"/>
      <c r="N46" s="208"/>
      <c r="O46" s="208"/>
      <c r="P46" s="208"/>
      <c r="Q46" s="208"/>
      <c r="R46" s="208"/>
      <c r="S46" s="63"/>
      <c r="T46" s="63"/>
      <c r="U46" s="63"/>
      <c r="V46" s="63"/>
      <c r="W46" s="5"/>
      <c r="X46" s="5"/>
      <c r="Y46" s="5"/>
      <c r="Z46" s="5"/>
      <c r="AA46" s="5"/>
      <c r="AB46" s="5"/>
      <c r="AC46" s="5"/>
      <c r="AD46" s="5"/>
      <c r="AE46" s="5"/>
      <c r="AF46" s="5"/>
      <c r="AG46" s="5"/>
    </row>
    <row r="47" spans="1:33" s="1" customFormat="1" ht="15.5">
      <c r="A47" s="208" t="s">
        <v>402</v>
      </c>
      <c r="B47" s="208" t="s">
        <v>490</v>
      </c>
      <c r="C47" s="208" t="s">
        <v>501</v>
      </c>
      <c r="D47" s="208" t="s">
        <v>422</v>
      </c>
      <c r="E47" s="215" t="s">
        <v>423</v>
      </c>
      <c r="F47" s="208" t="s">
        <v>502</v>
      </c>
      <c r="G47" s="208"/>
      <c r="H47" s="208"/>
      <c r="I47" s="208"/>
      <c r="J47" s="208"/>
      <c r="K47" s="208"/>
      <c r="L47" s="208"/>
      <c r="M47" s="208"/>
      <c r="N47" s="208"/>
      <c r="O47" s="208"/>
      <c r="P47" s="208"/>
      <c r="Q47" s="208"/>
      <c r="R47" s="208"/>
      <c r="S47" s="63"/>
      <c r="T47" s="63"/>
      <c r="U47" s="63"/>
      <c r="V47" s="63"/>
      <c r="W47" s="5"/>
      <c r="X47" s="5"/>
      <c r="Y47" s="5"/>
      <c r="Z47" s="5"/>
      <c r="AA47" s="5"/>
      <c r="AB47" s="5"/>
      <c r="AC47" s="5"/>
      <c r="AD47" s="5"/>
      <c r="AE47" s="5"/>
      <c r="AF47" s="5"/>
      <c r="AG47" s="5"/>
    </row>
    <row r="48" spans="1:33" s="1" customFormat="1" ht="15.5">
      <c r="A48" s="208" t="s">
        <v>402</v>
      </c>
      <c r="B48" s="208" t="s">
        <v>490</v>
      </c>
      <c r="C48" s="208" t="s">
        <v>503</v>
      </c>
      <c r="D48" s="208" t="s">
        <v>422</v>
      </c>
      <c r="E48" s="215" t="s">
        <v>423</v>
      </c>
      <c r="F48" s="208" t="s">
        <v>504</v>
      </c>
      <c r="G48" s="208"/>
      <c r="H48" s="208"/>
      <c r="I48" s="208"/>
      <c r="J48" s="208"/>
      <c r="K48" s="208"/>
      <c r="L48" s="208"/>
      <c r="M48" s="208"/>
      <c r="N48" s="208"/>
      <c r="O48" s="208"/>
      <c r="P48" s="208"/>
      <c r="Q48" s="208"/>
      <c r="R48" s="208"/>
      <c r="S48" s="63"/>
      <c r="T48" s="63"/>
      <c r="U48" s="63"/>
      <c r="V48" s="63"/>
      <c r="W48" s="5"/>
      <c r="X48" s="5"/>
      <c r="Y48" s="5"/>
      <c r="Z48" s="5"/>
      <c r="AA48" s="5"/>
      <c r="AB48" s="5"/>
      <c r="AC48" s="5"/>
      <c r="AD48" s="5"/>
      <c r="AE48" s="5"/>
      <c r="AF48" s="5"/>
      <c r="AG48" s="5"/>
    </row>
    <row r="49" spans="1:33" s="1" customFormat="1" ht="15.5">
      <c r="A49" s="208" t="s">
        <v>402</v>
      </c>
      <c r="B49" s="208" t="s">
        <v>490</v>
      </c>
      <c r="C49" s="208" t="s">
        <v>505</v>
      </c>
      <c r="D49" s="208" t="s">
        <v>422</v>
      </c>
      <c r="E49" s="215" t="s">
        <v>423</v>
      </c>
      <c r="F49" s="208" t="s">
        <v>506</v>
      </c>
      <c r="G49" s="208"/>
      <c r="H49" s="208"/>
      <c r="I49" s="208"/>
      <c r="J49" s="208"/>
      <c r="K49" s="208"/>
      <c r="L49" s="208"/>
      <c r="M49" s="208"/>
      <c r="N49" s="208"/>
      <c r="O49" s="208"/>
      <c r="P49" s="208"/>
      <c r="Q49" s="208"/>
      <c r="R49" s="208"/>
      <c r="S49" s="63"/>
      <c r="T49" s="63"/>
      <c r="U49" s="63"/>
      <c r="V49" s="63"/>
      <c r="W49" s="5"/>
      <c r="X49" s="5"/>
      <c r="Y49" s="5"/>
      <c r="Z49" s="5"/>
      <c r="AA49" s="5"/>
      <c r="AB49" s="5"/>
      <c r="AC49" s="5"/>
      <c r="AD49" s="5"/>
      <c r="AE49" s="5"/>
      <c r="AF49" s="5"/>
      <c r="AG49" s="5"/>
    </row>
    <row r="50" spans="1:33" s="1" customFormat="1" ht="15.5">
      <c r="A50" s="208" t="s">
        <v>402</v>
      </c>
      <c r="B50" s="208" t="s">
        <v>490</v>
      </c>
      <c r="C50" s="208" t="s">
        <v>507</v>
      </c>
      <c r="D50" s="208" t="s">
        <v>422</v>
      </c>
      <c r="E50" s="215" t="s">
        <v>423</v>
      </c>
      <c r="F50" s="208" t="s">
        <v>508</v>
      </c>
      <c r="G50" s="208"/>
      <c r="H50" s="208"/>
      <c r="I50" s="208"/>
      <c r="J50" s="208"/>
      <c r="K50" s="208"/>
      <c r="L50" s="208"/>
      <c r="M50" s="208"/>
      <c r="N50" s="208"/>
      <c r="O50" s="208"/>
      <c r="P50" s="208"/>
      <c r="Q50" s="208"/>
      <c r="R50" s="208"/>
      <c r="S50" s="63"/>
      <c r="T50" s="63"/>
      <c r="U50" s="63"/>
      <c r="V50" s="63"/>
      <c r="W50" s="5"/>
      <c r="X50" s="5"/>
      <c r="Y50" s="5"/>
      <c r="Z50" s="5"/>
      <c r="AA50" s="5"/>
      <c r="AB50" s="5"/>
      <c r="AC50" s="5"/>
      <c r="AD50" s="5"/>
      <c r="AE50" s="5"/>
      <c r="AF50" s="5"/>
      <c r="AG50" s="5"/>
    </row>
    <row r="51" spans="1:33" s="1" customFormat="1" ht="15.5">
      <c r="A51" s="208" t="s">
        <v>402</v>
      </c>
      <c r="B51" s="208" t="s">
        <v>490</v>
      </c>
      <c r="C51" s="208" t="s">
        <v>509</v>
      </c>
      <c r="D51" s="208" t="s">
        <v>422</v>
      </c>
      <c r="E51" s="215" t="s">
        <v>423</v>
      </c>
      <c r="F51" s="208" t="s">
        <v>510</v>
      </c>
      <c r="G51" s="208"/>
      <c r="H51" s="208"/>
      <c r="I51" s="208"/>
      <c r="J51" s="208"/>
      <c r="K51" s="208"/>
      <c r="L51" s="208"/>
      <c r="M51" s="208"/>
      <c r="N51" s="208"/>
      <c r="O51" s="208"/>
      <c r="P51" s="208"/>
      <c r="Q51" s="208"/>
      <c r="R51" s="208"/>
      <c r="S51" s="63"/>
      <c r="T51" s="63"/>
      <c r="U51" s="63"/>
      <c r="V51" s="63"/>
      <c r="W51" s="5"/>
      <c r="X51" s="5"/>
      <c r="Y51" s="5"/>
      <c r="Z51" s="5"/>
      <c r="AA51" s="5"/>
      <c r="AB51" s="5"/>
      <c r="AC51" s="5"/>
      <c r="AD51" s="5"/>
      <c r="AE51" s="5"/>
      <c r="AF51" s="5"/>
      <c r="AG51" s="5"/>
    </row>
    <row r="52" spans="1:33" s="1" customFormat="1" ht="15.5">
      <c r="A52" s="208" t="s">
        <v>402</v>
      </c>
      <c r="B52" s="208" t="s">
        <v>490</v>
      </c>
      <c r="C52" s="208" t="s">
        <v>511</v>
      </c>
      <c r="D52" s="208" t="s">
        <v>422</v>
      </c>
      <c r="E52" s="215" t="s">
        <v>423</v>
      </c>
      <c r="F52" s="208" t="s">
        <v>512</v>
      </c>
      <c r="G52" s="208"/>
      <c r="H52" s="208"/>
      <c r="I52" s="208"/>
      <c r="J52" s="208"/>
      <c r="K52" s="208"/>
      <c r="L52" s="208"/>
      <c r="M52" s="208"/>
      <c r="N52" s="208"/>
      <c r="O52" s="208"/>
      <c r="P52" s="208"/>
      <c r="Q52" s="208"/>
      <c r="R52" s="208"/>
      <c r="S52" s="63"/>
      <c r="T52" s="63"/>
      <c r="U52" s="63"/>
      <c r="V52" s="63"/>
      <c r="W52" s="5"/>
      <c r="X52" s="5"/>
      <c r="Y52" s="5"/>
      <c r="Z52" s="5"/>
      <c r="AA52" s="5"/>
      <c r="AB52" s="5"/>
      <c r="AC52" s="5"/>
      <c r="AD52" s="5"/>
      <c r="AE52" s="5"/>
      <c r="AF52" s="5"/>
      <c r="AG52" s="5"/>
    </row>
    <row r="53" spans="1:33" s="1" customFormat="1" ht="15.5">
      <c r="A53" s="208" t="s">
        <v>402</v>
      </c>
      <c r="B53" s="208" t="s">
        <v>490</v>
      </c>
      <c r="C53" s="208" t="s">
        <v>513</v>
      </c>
      <c r="D53" s="208" t="s">
        <v>422</v>
      </c>
      <c r="E53" s="215" t="s">
        <v>423</v>
      </c>
      <c r="F53" s="208" t="s">
        <v>514</v>
      </c>
      <c r="G53" s="208"/>
      <c r="H53" s="208"/>
      <c r="I53" s="208"/>
      <c r="J53" s="208"/>
      <c r="K53" s="208"/>
      <c r="L53" s="208"/>
      <c r="M53" s="208"/>
      <c r="N53" s="208"/>
      <c r="O53" s="208"/>
      <c r="P53" s="208"/>
      <c r="Q53" s="208"/>
      <c r="R53" s="208"/>
      <c r="S53" s="63"/>
      <c r="T53" s="63"/>
      <c r="U53" s="63"/>
      <c r="V53" s="63"/>
      <c r="W53" s="5"/>
      <c r="X53" s="5"/>
      <c r="Y53" s="5"/>
      <c r="Z53" s="5"/>
      <c r="AA53" s="5"/>
      <c r="AB53" s="5"/>
      <c r="AC53" s="5"/>
      <c r="AD53" s="5"/>
      <c r="AE53" s="5"/>
      <c r="AF53" s="5"/>
      <c r="AG53" s="5"/>
    </row>
    <row r="54" spans="1:33" s="1" customFormat="1" ht="15.5">
      <c r="A54" s="208" t="s">
        <v>402</v>
      </c>
      <c r="B54" s="208" t="s">
        <v>490</v>
      </c>
      <c r="C54" s="208" t="s">
        <v>515</v>
      </c>
      <c r="D54" s="208" t="s">
        <v>422</v>
      </c>
      <c r="E54" s="215" t="s">
        <v>423</v>
      </c>
      <c r="F54" s="208" t="s">
        <v>516</v>
      </c>
      <c r="G54" s="208"/>
      <c r="H54" s="208"/>
      <c r="I54" s="208"/>
      <c r="J54" s="208"/>
      <c r="K54" s="208"/>
      <c r="L54" s="208"/>
      <c r="M54" s="208"/>
      <c r="N54" s="208"/>
      <c r="O54" s="208"/>
      <c r="P54" s="208"/>
      <c r="Q54" s="208"/>
      <c r="R54" s="208"/>
      <c r="S54" s="63"/>
      <c r="T54" s="63"/>
      <c r="U54" s="63"/>
      <c r="V54" s="63"/>
      <c r="W54" s="5"/>
      <c r="X54" s="5"/>
      <c r="Y54" s="5"/>
      <c r="Z54" s="5"/>
      <c r="AA54" s="5"/>
      <c r="AB54" s="5"/>
      <c r="AC54" s="5"/>
      <c r="AD54" s="5"/>
      <c r="AE54" s="5"/>
      <c r="AF54" s="5"/>
      <c r="AG54" s="5"/>
    </row>
    <row r="55" spans="1:33" s="1" customFormat="1" ht="15.5">
      <c r="A55" s="208" t="s">
        <v>402</v>
      </c>
      <c r="B55" s="208" t="s">
        <v>490</v>
      </c>
      <c r="C55" s="208" t="s">
        <v>517</v>
      </c>
      <c r="D55" s="208" t="s">
        <v>422</v>
      </c>
      <c r="E55" s="215" t="s">
        <v>423</v>
      </c>
      <c r="F55" s="208" t="s">
        <v>518</v>
      </c>
      <c r="G55" s="208"/>
      <c r="H55" s="208"/>
      <c r="I55" s="208"/>
      <c r="J55" s="208"/>
      <c r="K55" s="208"/>
      <c r="L55" s="208"/>
      <c r="M55" s="208"/>
      <c r="N55" s="208"/>
      <c r="O55" s="208"/>
      <c r="P55" s="208"/>
      <c r="Q55" s="208"/>
      <c r="R55" s="208"/>
      <c r="S55" s="63"/>
      <c r="T55" s="63"/>
      <c r="U55" s="63"/>
      <c r="V55" s="63"/>
      <c r="W55" s="5"/>
      <c r="X55" s="5"/>
      <c r="Y55" s="5"/>
      <c r="Z55" s="5"/>
      <c r="AA55" s="5"/>
      <c r="AB55" s="5"/>
      <c r="AC55" s="5"/>
      <c r="AD55" s="5"/>
      <c r="AE55" s="5"/>
      <c r="AF55" s="5"/>
      <c r="AG55" s="5"/>
    </row>
    <row r="56" spans="1:33" s="1" customFormat="1" ht="15.5">
      <c r="A56" s="208" t="s">
        <v>402</v>
      </c>
      <c r="B56" s="208" t="s">
        <v>393</v>
      </c>
      <c r="C56" s="208" t="s">
        <v>519</v>
      </c>
      <c r="D56" s="208" t="s">
        <v>422</v>
      </c>
      <c r="E56" s="215" t="s">
        <v>423</v>
      </c>
      <c r="F56" s="208" t="s">
        <v>520</v>
      </c>
      <c r="G56" s="208"/>
      <c r="H56" s="208"/>
      <c r="I56" s="208"/>
      <c r="J56" s="208"/>
      <c r="K56" s="208"/>
      <c r="L56" s="208"/>
      <c r="M56" s="208"/>
      <c r="N56" s="208"/>
      <c r="O56" s="208"/>
      <c r="P56" s="208"/>
      <c r="Q56" s="208"/>
      <c r="R56" s="208"/>
      <c r="S56" s="63"/>
      <c r="T56" s="63"/>
      <c r="U56" s="63"/>
      <c r="V56" s="63"/>
      <c r="W56" s="5"/>
      <c r="X56" s="5"/>
      <c r="Y56" s="5"/>
      <c r="Z56" s="5"/>
      <c r="AA56" s="5"/>
      <c r="AB56" s="5"/>
      <c r="AC56" s="5"/>
      <c r="AD56" s="5"/>
      <c r="AE56" s="5"/>
      <c r="AF56" s="5"/>
      <c r="AG56" s="5"/>
    </row>
    <row r="57" spans="1:33" s="1" customFormat="1" ht="15.5">
      <c r="A57" s="208" t="s">
        <v>402</v>
      </c>
      <c r="B57" s="208" t="s">
        <v>393</v>
      </c>
      <c r="C57" s="208" t="s">
        <v>521</v>
      </c>
      <c r="D57" s="208" t="s">
        <v>422</v>
      </c>
      <c r="E57" s="215" t="s">
        <v>423</v>
      </c>
      <c r="F57" s="208" t="s">
        <v>522</v>
      </c>
      <c r="G57" s="208"/>
      <c r="H57" s="208"/>
      <c r="I57" s="208"/>
      <c r="J57" s="208"/>
      <c r="K57" s="208"/>
      <c r="L57" s="208"/>
      <c r="M57" s="208"/>
      <c r="N57" s="208"/>
      <c r="O57" s="208"/>
      <c r="P57" s="208"/>
      <c r="Q57" s="208"/>
      <c r="R57" s="208"/>
      <c r="S57" s="63"/>
      <c r="T57" s="63"/>
      <c r="U57" s="63"/>
      <c r="V57" s="63"/>
      <c r="W57" s="5"/>
      <c r="X57" s="5"/>
      <c r="Y57" s="5"/>
      <c r="Z57" s="5"/>
      <c r="AA57" s="5"/>
      <c r="AB57" s="5"/>
      <c r="AC57" s="5"/>
      <c r="AD57" s="5"/>
      <c r="AE57" s="5"/>
      <c r="AF57" s="5"/>
      <c r="AG57" s="5"/>
    </row>
    <row r="58" spans="1:33" s="1" customFormat="1" ht="15.5">
      <c r="A58" s="208" t="s">
        <v>402</v>
      </c>
      <c r="B58" s="208" t="s">
        <v>393</v>
      </c>
      <c r="C58" s="208" t="s">
        <v>523</v>
      </c>
      <c r="D58" s="208" t="s">
        <v>422</v>
      </c>
      <c r="E58" s="215" t="s">
        <v>423</v>
      </c>
      <c r="F58" s="208" t="s">
        <v>524</v>
      </c>
      <c r="G58" s="208"/>
      <c r="H58" s="208"/>
      <c r="I58" s="208"/>
      <c r="J58" s="208"/>
      <c r="K58" s="208"/>
      <c r="L58" s="208"/>
      <c r="M58" s="208"/>
      <c r="N58" s="208"/>
      <c r="O58" s="208"/>
      <c r="P58" s="208"/>
      <c r="Q58" s="208"/>
      <c r="R58" s="208"/>
      <c r="S58" s="63"/>
      <c r="T58" s="63"/>
      <c r="U58" s="63"/>
      <c r="V58" s="63"/>
      <c r="W58" s="5"/>
      <c r="X58" s="5"/>
      <c r="Y58" s="5"/>
      <c r="Z58" s="5"/>
      <c r="AA58" s="5"/>
      <c r="AB58" s="5"/>
      <c r="AC58" s="5"/>
      <c r="AD58" s="5"/>
      <c r="AE58" s="5"/>
      <c r="AF58" s="5"/>
      <c r="AG58" s="5"/>
    </row>
    <row r="59" spans="1:33" s="1" customFormat="1" ht="15.5">
      <c r="A59" s="208" t="s">
        <v>402</v>
      </c>
      <c r="B59" s="208" t="s">
        <v>393</v>
      </c>
      <c r="C59" s="208" t="s">
        <v>525</v>
      </c>
      <c r="D59" s="208" t="s">
        <v>422</v>
      </c>
      <c r="E59" s="215" t="s">
        <v>423</v>
      </c>
      <c r="F59" s="208" t="s">
        <v>522</v>
      </c>
      <c r="G59" s="208"/>
      <c r="H59" s="208"/>
      <c r="I59" s="208"/>
      <c r="J59" s="208"/>
      <c r="K59" s="208"/>
      <c r="L59" s="208"/>
      <c r="M59" s="208"/>
      <c r="N59" s="208"/>
      <c r="O59" s="208"/>
      <c r="P59" s="208"/>
      <c r="Q59" s="208"/>
      <c r="R59" s="208"/>
      <c r="S59" s="63"/>
      <c r="T59" s="63"/>
      <c r="U59" s="63"/>
      <c r="V59" s="63"/>
      <c r="W59" s="5"/>
      <c r="X59" s="5"/>
      <c r="Y59" s="5"/>
      <c r="Z59" s="5"/>
      <c r="AA59" s="5"/>
      <c r="AB59" s="5"/>
      <c r="AC59" s="5"/>
      <c r="AD59" s="5"/>
      <c r="AE59" s="5"/>
      <c r="AF59" s="5"/>
      <c r="AG59" s="5"/>
    </row>
    <row r="60" spans="1:33" s="1" customFormat="1" ht="15.5">
      <c r="A60" s="208" t="s">
        <v>402</v>
      </c>
      <c r="B60" s="208" t="s">
        <v>393</v>
      </c>
      <c r="C60" s="208" t="s">
        <v>526</v>
      </c>
      <c r="D60" s="208" t="s">
        <v>422</v>
      </c>
      <c r="E60" s="215" t="s">
        <v>423</v>
      </c>
      <c r="F60" s="208" t="s">
        <v>527</v>
      </c>
      <c r="G60" s="208"/>
      <c r="H60" s="208"/>
      <c r="I60" s="208"/>
      <c r="J60" s="208"/>
      <c r="K60" s="208"/>
      <c r="L60" s="208"/>
      <c r="M60" s="208"/>
      <c r="N60" s="208"/>
      <c r="O60" s="208"/>
      <c r="P60" s="208"/>
      <c r="Q60" s="208"/>
      <c r="R60" s="208"/>
      <c r="S60" s="63"/>
      <c r="T60" s="63"/>
      <c r="U60" s="63"/>
      <c r="V60" s="63"/>
      <c r="W60" s="5"/>
      <c r="X60" s="5"/>
      <c r="Y60" s="5"/>
      <c r="Z60" s="5"/>
      <c r="AA60" s="5"/>
      <c r="AB60" s="5"/>
      <c r="AC60" s="5"/>
      <c r="AD60" s="5"/>
      <c r="AE60" s="5"/>
      <c r="AF60" s="5"/>
      <c r="AG60" s="5"/>
    </row>
    <row r="61" spans="1:33" s="1" customFormat="1" ht="15.5">
      <c r="A61" s="208" t="s">
        <v>402</v>
      </c>
      <c r="B61" s="208" t="s">
        <v>393</v>
      </c>
      <c r="C61" s="208" t="s">
        <v>528</v>
      </c>
      <c r="D61" s="208" t="s">
        <v>422</v>
      </c>
      <c r="E61" s="215" t="s">
        <v>423</v>
      </c>
      <c r="F61" s="208" t="s">
        <v>529</v>
      </c>
      <c r="G61" s="208"/>
      <c r="H61" s="208"/>
      <c r="I61" s="208"/>
      <c r="J61" s="208"/>
      <c r="K61" s="208"/>
      <c r="L61" s="208"/>
      <c r="M61" s="208"/>
      <c r="N61" s="208"/>
      <c r="O61" s="208"/>
      <c r="P61" s="208"/>
      <c r="Q61" s="208"/>
      <c r="R61" s="208"/>
      <c r="S61" s="63"/>
      <c r="T61" s="63"/>
      <c r="U61" s="63"/>
      <c r="V61" s="63"/>
      <c r="W61" s="5"/>
      <c r="X61" s="5"/>
      <c r="Y61" s="5"/>
      <c r="Z61" s="5"/>
      <c r="AA61" s="5"/>
      <c r="AB61" s="5"/>
      <c r="AC61" s="5"/>
      <c r="AD61" s="5"/>
      <c r="AE61" s="5"/>
      <c r="AF61" s="5"/>
      <c r="AG61" s="5"/>
    </row>
    <row r="62" spans="1:33" s="1" customFormat="1" ht="15.5">
      <c r="A62" s="208" t="s">
        <v>402</v>
      </c>
      <c r="B62" s="208" t="s">
        <v>393</v>
      </c>
      <c r="C62" s="208" t="s">
        <v>530</v>
      </c>
      <c r="D62" s="208" t="s">
        <v>422</v>
      </c>
      <c r="E62" s="215" t="s">
        <v>423</v>
      </c>
      <c r="F62" s="208" t="s">
        <v>531</v>
      </c>
      <c r="G62" s="208"/>
      <c r="H62" s="208"/>
      <c r="I62" s="208"/>
      <c r="J62" s="208"/>
      <c r="K62" s="208"/>
      <c r="L62" s="208"/>
      <c r="M62" s="208"/>
      <c r="N62" s="208"/>
      <c r="O62" s="208"/>
      <c r="P62" s="208"/>
      <c r="Q62" s="208"/>
      <c r="R62" s="208"/>
      <c r="S62" s="63"/>
      <c r="T62" s="63"/>
      <c r="U62" s="63"/>
      <c r="V62" s="63"/>
      <c r="W62" s="5"/>
      <c r="X62" s="5"/>
      <c r="Y62" s="5"/>
      <c r="Z62" s="5"/>
      <c r="AA62" s="5"/>
      <c r="AB62" s="5"/>
      <c r="AC62" s="5"/>
      <c r="AD62" s="5"/>
      <c r="AE62" s="5"/>
      <c r="AF62" s="5"/>
      <c r="AG62" s="5"/>
    </row>
    <row r="63" spans="1:33" s="1" customFormat="1" ht="15.5">
      <c r="A63" s="208" t="s">
        <v>402</v>
      </c>
      <c r="B63" s="208" t="s">
        <v>420</v>
      </c>
      <c r="C63" s="208" t="s">
        <v>532</v>
      </c>
      <c r="D63" s="208" t="s">
        <v>533</v>
      </c>
      <c r="E63" s="215" t="s">
        <v>534</v>
      </c>
      <c r="F63" s="208" t="s">
        <v>535</v>
      </c>
      <c r="G63" s="208"/>
      <c r="H63" s="208"/>
      <c r="I63" s="208"/>
      <c r="J63" s="208"/>
      <c r="K63" s="208"/>
      <c r="L63" s="208"/>
      <c r="M63" s="208"/>
      <c r="N63" s="208"/>
      <c r="O63" s="208"/>
      <c r="P63" s="208"/>
      <c r="Q63" s="208"/>
      <c r="R63" s="208"/>
      <c r="S63" s="63"/>
      <c r="T63" s="63"/>
      <c r="U63" s="63"/>
      <c r="V63" s="63"/>
      <c r="W63" s="5"/>
      <c r="X63" s="5"/>
      <c r="Y63" s="5"/>
      <c r="Z63" s="5"/>
      <c r="AA63" s="5"/>
      <c r="AB63" s="5"/>
      <c r="AC63" s="5"/>
      <c r="AD63" s="5"/>
      <c r="AE63" s="5"/>
      <c r="AF63" s="5"/>
      <c r="AG63" s="5"/>
    </row>
    <row r="64" spans="1:33" s="1" customFormat="1" ht="15.5">
      <c r="A64" s="208" t="s">
        <v>406</v>
      </c>
      <c r="B64" s="208" t="s">
        <v>420</v>
      </c>
      <c r="C64" s="208" t="s">
        <v>536</v>
      </c>
      <c r="D64" s="208" t="s">
        <v>533</v>
      </c>
      <c r="E64" s="215" t="s">
        <v>537</v>
      </c>
      <c r="F64" s="208" t="s">
        <v>535</v>
      </c>
      <c r="G64" s="208"/>
      <c r="H64" s="208"/>
      <c r="I64" s="208"/>
      <c r="J64" s="208"/>
      <c r="K64" s="208"/>
      <c r="L64" s="208"/>
      <c r="M64" s="208"/>
      <c r="N64" s="208"/>
      <c r="O64" s="208"/>
      <c r="P64" s="208"/>
      <c r="Q64" s="208"/>
      <c r="R64" s="208"/>
      <c r="S64" s="63"/>
      <c r="T64" s="63"/>
      <c r="U64" s="63"/>
      <c r="V64" s="63"/>
      <c r="W64" s="5"/>
      <c r="X64" s="5"/>
      <c r="Y64" s="5"/>
      <c r="Z64" s="5"/>
      <c r="AA64" s="5"/>
      <c r="AB64" s="5"/>
      <c r="AC64" s="5"/>
      <c r="AD64" s="5"/>
      <c r="AE64" s="5"/>
      <c r="AF64" s="5"/>
      <c r="AG64" s="5"/>
    </row>
    <row r="65" spans="1:33" s="1" customFormat="1" ht="15.5">
      <c r="A65" s="208" t="s">
        <v>406</v>
      </c>
      <c r="B65" s="208" t="s">
        <v>420</v>
      </c>
      <c r="C65" s="208" t="s">
        <v>538</v>
      </c>
      <c r="D65" s="208" t="s">
        <v>533</v>
      </c>
      <c r="E65" s="215" t="s">
        <v>539</v>
      </c>
      <c r="F65" s="208" t="s">
        <v>535</v>
      </c>
      <c r="G65" s="208"/>
      <c r="H65" s="208"/>
      <c r="I65" s="208"/>
      <c r="J65" s="208"/>
      <c r="K65" s="208"/>
      <c r="L65" s="208"/>
      <c r="M65" s="208"/>
      <c r="N65" s="208"/>
      <c r="O65" s="208"/>
      <c r="P65" s="208"/>
      <c r="Q65" s="208"/>
      <c r="R65" s="208"/>
      <c r="S65" s="63"/>
      <c r="T65" s="63"/>
      <c r="U65" s="63"/>
      <c r="V65" s="63"/>
      <c r="W65" s="5"/>
      <c r="X65" s="5"/>
      <c r="Y65" s="5"/>
      <c r="Z65" s="5"/>
      <c r="AA65" s="5"/>
      <c r="AB65" s="5"/>
      <c r="AC65" s="5"/>
      <c r="AD65" s="5"/>
      <c r="AE65" s="5"/>
      <c r="AF65" s="5"/>
      <c r="AG65" s="5"/>
    </row>
    <row r="66" spans="1:33" s="1" customFormat="1" ht="15.5">
      <c r="A66" s="208" t="s">
        <v>406</v>
      </c>
      <c r="B66" s="208" t="s">
        <v>420</v>
      </c>
      <c r="C66" s="208" t="s">
        <v>540</v>
      </c>
      <c r="D66" s="208" t="s">
        <v>533</v>
      </c>
      <c r="E66" s="215" t="s">
        <v>541</v>
      </c>
      <c r="F66" s="208" t="s">
        <v>542</v>
      </c>
      <c r="G66" s="208"/>
      <c r="H66" s="208"/>
      <c r="I66" s="208"/>
      <c r="J66" s="208"/>
      <c r="K66" s="208"/>
      <c r="L66" s="208"/>
      <c r="M66" s="208"/>
      <c r="N66" s="208"/>
      <c r="O66" s="208"/>
      <c r="P66" s="208"/>
      <c r="Q66" s="208"/>
      <c r="R66" s="208"/>
      <c r="S66" s="63"/>
      <c r="T66" s="63"/>
      <c r="U66" s="63"/>
      <c r="V66" s="63"/>
      <c r="W66" s="5"/>
      <c r="X66" s="5"/>
      <c r="Y66" s="5"/>
      <c r="Z66" s="5"/>
      <c r="AA66" s="5"/>
      <c r="AB66" s="5"/>
      <c r="AC66" s="5"/>
      <c r="AD66" s="5"/>
      <c r="AE66" s="5"/>
      <c r="AF66" s="5"/>
      <c r="AG66" s="5"/>
    </row>
    <row r="67" spans="1:33" s="1" customFormat="1" ht="15.5">
      <c r="A67" s="208" t="s">
        <v>406</v>
      </c>
      <c r="B67" s="208" t="s">
        <v>420</v>
      </c>
      <c r="C67" s="208" t="s">
        <v>543</v>
      </c>
      <c r="D67" s="208" t="s">
        <v>533</v>
      </c>
      <c r="E67" s="215" t="s">
        <v>544</v>
      </c>
      <c r="F67" s="208" t="s">
        <v>545</v>
      </c>
      <c r="G67" s="208"/>
      <c r="H67" s="208"/>
      <c r="I67" s="208"/>
      <c r="J67" s="208"/>
      <c r="K67" s="208"/>
      <c r="L67" s="208"/>
      <c r="M67" s="208"/>
      <c r="N67" s="208"/>
      <c r="O67" s="208"/>
      <c r="P67" s="208"/>
      <c r="Q67" s="208"/>
      <c r="R67" s="208"/>
      <c r="S67" s="63"/>
      <c r="T67" s="63"/>
      <c r="U67" s="63"/>
      <c r="V67" s="63"/>
      <c r="W67" s="5"/>
      <c r="X67" s="5"/>
      <c r="Y67" s="5"/>
      <c r="Z67" s="5"/>
      <c r="AA67" s="5"/>
      <c r="AB67" s="5"/>
      <c r="AC67" s="5"/>
      <c r="AD67" s="5"/>
      <c r="AE67" s="5"/>
      <c r="AF67" s="5"/>
      <c r="AG67" s="5"/>
    </row>
    <row r="68" spans="1:33" s="1" customFormat="1" ht="15.5">
      <c r="A68" s="208" t="s">
        <v>406</v>
      </c>
      <c r="B68" s="208" t="s">
        <v>420</v>
      </c>
      <c r="C68" s="208" t="s">
        <v>546</v>
      </c>
      <c r="D68" s="208" t="s">
        <v>533</v>
      </c>
      <c r="E68" s="215" t="s">
        <v>547</v>
      </c>
      <c r="F68" s="208" t="s">
        <v>548</v>
      </c>
      <c r="G68" s="208"/>
      <c r="H68" s="208"/>
      <c r="I68" s="208"/>
      <c r="J68" s="208"/>
      <c r="K68" s="208"/>
      <c r="L68" s="208"/>
      <c r="M68" s="208"/>
      <c r="N68" s="208"/>
      <c r="O68" s="208"/>
      <c r="P68" s="208"/>
      <c r="Q68" s="208"/>
      <c r="R68" s="208"/>
      <c r="S68" s="63"/>
      <c r="T68" s="63"/>
      <c r="U68" s="63"/>
      <c r="V68" s="63"/>
      <c r="W68" s="5"/>
      <c r="X68" s="5"/>
      <c r="Y68" s="5"/>
      <c r="Z68" s="5"/>
      <c r="AA68" s="5"/>
      <c r="AB68" s="5"/>
      <c r="AC68" s="5"/>
      <c r="AD68" s="5"/>
      <c r="AE68" s="5"/>
      <c r="AF68" s="5"/>
      <c r="AG68" s="5"/>
    </row>
    <row r="69" spans="1:33" s="1" customFormat="1" ht="15.5">
      <c r="A69" s="208" t="s">
        <v>406</v>
      </c>
      <c r="B69" s="208" t="s">
        <v>420</v>
      </c>
      <c r="C69" s="208" t="s">
        <v>549</v>
      </c>
      <c r="D69" s="208" t="s">
        <v>533</v>
      </c>
      <c r="E69" s="215" t="s">
        <v>550</v>
      </c>
      <c r="F69" s="208" t="s">
        <v>551</v>
      </c>
      <c r="G69" s="208"/>
      <c r="H69" s="208"/>
      <c r="I69" s="208"/>
      <c r="J69" s="208"/>
      <c r="K69" s="208"/>
      <c r="L69" s="208"/>
      <c r="M69" s="208"/>
      <c r="N69" s="208"/>
      <c r="O69" s="208"/>
      <c r="P69" s="208"/>
      <c r="Q69" s="208"/>
      <c r="R69" s="208"/>
      <c r="S69" s="63"/>
      <c r="T69" s="63"/>
      <c r="U69" s="63"/>
      <c r="V69" s="63"/>
      <c r="W69" s="5"/>
      <c r="X69" s="5"/>
      <c r="Y69" s="5"/>
      <c r="Z69" s="5"/>
      <c r="AA69" s="5"/>
      <c r="AB69" s="5"/>
      <c r="AC69" s="5"/>
      <c r="AD69" s="5"/>
      <c r="AE69" s="5"/>
      <c r="AF69" s="5"/>
      <c r="AG69" s="5"/>
    </row>
    <row r="70" spans="1:33" s="1" customFormat="1" ht="15.5">
      <c r="A70" s="208" t="s">
        <v>406</v>
      </c>
      <c r="B70" s="208" t="s">
        <v>420</v>
      </c>
      <c r="C70" s="208" t="s">
        <v>552</v>
      </c>
      <c r="D70" s="208" t="s">
        <v>533</v>
      </c>
      <c r="E70" s="215" t="s">
        <v>553</v>
      </c>
      <c r="F70" s="208" t="s">
        <v>554</v>
      </c>
      <c r="G70" s="208"/>
      <c r="H70" s="208"/>
      <c r="I70" s="208"/>
      <c r="J70" s="208"/>
      <c r="K70" s="208"/>
      <c r="L70" s="208"/>
      <c r="M70" s="208"/>
      <c r="N70" s="208"/>
      <c r="O70" s="208"/>
      <c r="P70" s="208"/>
      <c r="Q70" s="208"/>
      <c r="R70" s="208"/>
      <c r="S70" s="63"/>
      <c r="T70" s="63"/>
      <c r="U70" s="63"/>
      <c r="V70" s="63"/>
      <c r="W70" s="5"/>
      <c r="X70" s="5"/>
      <c r="Y70" s="5"/>
      <c r="Z70" s="5"/>
      <c r="AA70" s="5"/>
      <c r="AB70" s="5"/>
      <c r="AC70" s="5"/>
      <c r="AD70" s="5"/>
      <c r="AE70" s="5"/>
      <c r="AF70" s="5"/>
      <c r="AG70" s="5"/>
    </row>
    <row r="71" spans="1:33" s="1" customFormat="1" ht="15.5">
      <c r="A71" s="208" t="s">
        <v>406</v>
      </c>
      <c r="B71" s="208" t="s">
        <v>420</v>
      </c>
      <c r="C71" s="208" t="s">
        <v>555</v>
      </c>
      <c r="D71" s="208" t="s">
        <v>533</v>
      </c>
      <c r="E71" s="215" t="s">
        <v>556</v>
      </c>
      <c r="F71" s="208" t="s">
        <v>557</v>
      </c>
      <c r="G71" s="208"/>
      <c r="H71" s="208"/>
      <c r="I71" s="208"/>
      <c r="J71" s="208"/>
      <c r="K71" s="208"/>
      <c r="L71" s="208"/>
      <c r="M71" s="208"/>
      <c r="N71" s="208"/>
      <c r="O71" s="208"/>
      <c r="P71" s="208"/>
      <c r="Q71" s="208"/>
      <c r="R71" s="208"/>
      <c r="S71" s="63"/>
      <c r="T71" s="63"/>
      <c r="U71" s="63"/>
      <c r="V71" s="63"/>
      <c r="W71" s="5"/>
      <c r="X71" s="5"/>
      <c r="Y71" s="5"/>
      <c r="Z71" s="5"/>
      <c r="AA71" s="5"/>
      <c r="AB71" s="5"/>
      <c r="AC71" s="5"/>
      <c r="AD71" s="5"/>
      <c r="AE71" s="5"/>
      <c r="AF71" s="5"/>
      <c r="AG71" s="5"/>
    </row>
    <row r="72" spans="1:33" s="1" customFormat="1" ht="15.5">
      <c r="A72" s="208" t="s">
        <v>406</v>
      </c>
      <c r="B72" s="208" t="s">
        <v>420</v>
      </c>
      <c r="C72" s="208" t="s">
        <v>558</v>
      </c>
      <c r="D72" s="208" t="s">
        <v>533</v>
      </c>
      <c r="E72" s="215" t="s">
        <v>559</v>
      </c>
      <c r="F72" s="208" t="s">
        <v>560</v>
      </c>
      <c r="G72" s="208"/>
      <c r="H72" s="208"/>
      <c r="I72" s="208"/>
      <c r="J72" s="208"/>
      <c r="K72" s="208"/>
      <c r="L72" s="208"/>
      <c r="M72" s="208"/>
      <c r="N72" s="208"/>
      <c r="O72" s="208"/>
      <c r="P72" s="208"/>
      <c r="Q72" s="208"/>
      <c r="R72" s="208"/>
      <c r="S72" s="63"/>
      <c r="T72" s="63"/>
      <c r="U72" s="63"/>
      <c r="V72" s="63"/>
      <c r="W72" s="5"/>
      <c r="X72" s="5"/>
      <c r="Y72" s="5"/>
      <c r="Z72" s="5"/>
      <c r="AA72" s="5"/>
      <c r="AB72" s="5"/>
      <c r="AC72" s="5"/>
      <c r="AD72" s="5"/>
      <c r="AE72" s="5"/>
      <c r="AF72" s="5"/>
      <c r="AG72" s="5"/>
    </row>
    <row r="73" spans="1:33" s="1" customFormat="1" ht="15.5">
      <c r="A73" s="208" t="s">
        <v>406</v>
      </c>
      <c r="B73" s="208" t="s">
        <v>420</v>
      </c>
      <c r="C73" s="208" t="s">
        <v>561</v>
      </c>
      <c r="D73" s="208" t="s">
        <v>533</v>
      </c>
      <c r="E73" s="215" t="s">
        <v>562</v>
      </c>
      <c r="F73" s="208" t="s">
        <v>563</v>
      </c>
      <c r="G73" s="208"/>
      <c r="H73" s="208"/>
      <c r="I73" s="208"/>
      <c r="J73" s="208"/>
      <c r="K73" s="208"/>
      <c r="L73" s="208"/>
      <c r="M73" s="208"/>
      <c r="N73" s="208"/>
      <c r="O73" s="208"/>
      <c r="P73" s="208"/>
      <c r="Q73" s="208"/>
      <c r="R73" s="208"/>
      <c r="S73" s="63"/>
      <c r="T73" s="63"/>
      <c r="U73" s="63"/>
      <c r="V73" s="63"/>
      <c r="W73" s="5"/>
      <c r="X73" s="5"/>
      <c r="Y73" s="5"/>
      <c r="Z73" s="5"/>
      <c r="AA73" s="5"/>
      <c r="AB73" s="5"/>
      <c r="AC73" s="5"/>
      <c r="AD73" s="5"/>
      <c r="AE73" s="5"/>
      <c r="AF73" s="5"/>
      <c r="AG73" s="5"/>
    </row>
    <row r="74" spans="1:33" s="1" customFormat="1" ht="15.5">
      <c r="A74" s="208" t="s">
        <v>406</v>
      </c>
      <c r="B74" s="208" t="s">
        <v>420</v>
      </c>
      <c r="C74" s="208" t="s">
        <v>564</v>
      </c>
      <c r="D74" s="208" t="s">
        <v>533</v>
      </c>
      <c r="E74" s="215" t="s">
        <v>565</v>
      </c>
      <c r="F74" s="208" t="s">
        <v>566</v>
      </c>
      <c r="G74" s="208"/>
      <c r="H74" s="208"/>
      <c r="I74" s="208"/>
      <c r="J74" s="208"/>
      <c r="K74" s="208"/>
      <c r="L74" s="208"/>
      <c r="M74" s="208"/>
      <c r="N74" s="208"/>
      <c r="O74" s="208"/>
      <c r="P74" s="208"/>
      <c r="Q74" s="208"/>
      <c r="R74" s="208"/>
      <c r="S74" s="63"/>
      <c r="T74" s="63"/>
      <c r="U74" s="63"/>
      <c r="V74" s="63"/>
      <c r="W74" s="5"/>
      <c r="X74" s="5"/>
      <c r="Y74" s="5"/>
      <c r="Z74" s="5"/>
      <c r="AA74" s="5"/>
      <c r="AB74" s="5"/>
      <c r="AC74" s="5"/>
      <c r="AD74" s="5"/>
      <c r="AE74" s="5"/>
      <c r="AF74" s="5"/>
      <c r="AG74" s="5"/>
    </row>
    <row r="75" spans="1:33" s="1" customFormat="1" ht="15.5">
      <c r="A75" s="208" t="s">
        <v>406</v>
      </c>
      <c r="B75" s="208" t="s">
        <v>420</v>
      </c>
      <c r="C75" s="208" t="s">
        <v>567</v>
      </c>
      <c r="D75" s="208" t="s">
        <v>533</v>
      </c>
      <c r="E75" s="215" t="s">
        <v>568</v>
      </c>
      <c r="F75" s="208" t="s">
        <v>569</v>
      </c>
      <c r="G75" s="208"/>
      <c r="H75" s="208"/>
      <c r="I75" s="208"/>
      <c r="J75" s="208"/>
      <c r="K75" s="208"/>
      <c r="L75" s="208"/>
      <c r="M75" s="208"/>
      <c r="N75" s="208"/>
      <c r="O75" s="208"/>
      <c r="P75" s="208"/>
      <c r="Q75" s="208"/>
      <c r="R75" s="208"/>
      <c r="S75" s="63"/>
      <c r="T75" s="63"/>
      <c r="U75" s="63"/>
      <c r="V75" s="63"/>
      <c r="W75" s="5"/>
      <c r="X75" s="5"/>
      <c r="Y75" s="5"/>
      <c r="Z75" s="5"/>
      <c r="AA75" s="5"/>
      <c r="AB75" s="5"/>
      <c r="AC75" s="5"/>
      <c r="AD75" s="5"/>
      <c r="AE75" s="5"/>
      <c r="AF75" s="5"/>
      <c r="AG75" s="5"/>
    </row>
    <row r="76" spans="1:33" s="1" customFormat="1" ht="15.5">
      <c r="A76" s="208" t="s">
        <v>406</v>
      </c>
      <c r="B76" s="208" t="s">
        <v>420</v>
      </c>
      <c r="C76" s="208" t="s">
        <v>570</v>
      </c>
      <c r="D76" s="208" t="s">
        <v>533</v>
      </c>
      <c r="E76" s="215" t="s">
        <v>571</v>
      </c>
      <c r="F76" s="208" t="s">
        <v>572</v>
      </c>
      <c r="G76" s="208"/>
      <c r="H76" s="208"/>
      <c r="I76" s="208"/>
      <c r="J76" s="208"/>
      <c r="K76" s="208"/>
      <c r="L76" s="208"/>
      <c r="M76" s="208"/>
      <c r="N76" s="208"/>
      <c r="O76" s="208"/>
      <c r="P76" s="208"/>
      <c r="Q76" s="208"/>
      <c r="R76" s="208"/>
      <c r="S76" s="63"/>
      <c r="T76" s="63"/>
      <c r="U76" s="63"/>
      <c r="V76" s="63"/>
      <c r="W76" s="5"/>
      <c r="X76" s="5"/>
      <c r="Y76" s="5"/>
      <c r="Z76" s="5"/>
      <c r="AA76" s="5"/>
      <c r="AB76" s="5"/>
      <c r="AC76" s="5"/>
      <c r="AD76" s="5"/>
      <c r="AE76" s="5"/>
      <c r="AF76" s="5"/>
      <c r="AG76" s="5"/>
    </row>
    <row r="77" spans="1:33" s="1" customFormat="1" ht="15.5">
      <c r="A77" s="208" t="s">
        <v>406</v>
      </c>
      <c r="B77" s="208" t="s">
        <v>420</v>
      </c>
      <c r="C77" s="208" t="s">
        <v>573</v>
      </c>
      <c r="D77" s="208" t="s">
        <v>533</v>
      </c>
      <c r="E77" s="215" t="s">
        <v>574</v>
      </c>
      <c r="F77" s="208" t="s">
        <v>575</v>
      </c>
      <c r="G77" s="208"/>
      <c r="H77" s="208"/>
      <c r="I77" s="208"/>
      <c r="J77" s="208"/>
      <c r="K77" s="208"/>
      <c r="L77" s="208"/>
      <c r="M77" s="208"/>
      <c r="N77" s="208"/>
      <c r="O77" s="208"/>
      <c r="P77" s="208"/>
      <c r="Q77" s="208"/>
      <c r="R77" s="208"/>
      <c r="S77" s="63"/>
      <c r="T77" s="63"/>
      <c r="U77" s="63"/>
      <c r="V77" s="63"/>
      <c r="W77" s="5"/>
      <c r="X77" s="5"/>
      <c r="Y77" s="5"/>
      <c r="Z77" s="5"/>
      <c r="AA77" s="5"/>
      <c r="AB77" s="5"/>
      <c r="AC77" s="5"/>
      <c r="AD77" s="5"/>
      <c r="AE77" s="5"/>
      <c r="AF77" s="5"/>
      <c r="AG77" s="5"/>
    </row>
    <row r="78" spans="1:33" s="1" customFormat="1" ht="15.5">
      <c r="A78" s="208" t="s">
        <v>406</v>
      </c>
      <c r="B78" s="208" t="s">
        <v>8</v>
      </c>
      <c r="C78" s="208" t="s">
        <v>576</v>
      </c>
      <c r="D78" s="208" t="s">
        <v>577</v>
      </c>
      <c r="E78" s="215" t="s">
        <v>578</v>
      </c>
      <c r="F78" s="208" t="s">
        <v>579</v>
      </c>
      <c r="G78" s="208"/>
      <c r="H78" s="208"/>
      <c r="I78" s="208"/>
      <c r="J78" s="208"/>
      <c r="K78" s="208"/>
      <c r="L78" s="208"/>
      <c r="M78" s="208"/>
      <c r="N78" s="208"/>
      <c r="O78" s="208"/>
      <c r="P78" s="208"/>
      <c r="Q78" s="208"/>
      <c r="R78" s="208"/>
      <c r="S78" s="63"/>
      <c r="T78" s="63"/>
      <c r="U78" s="63"/>
      <c r="V78" s="63"/>
      <c r="W78" s="5"/>
      <c r="X78" s="5"/>
      <c r="Y78" s="5"/>
      <c r="Z78" s="5"/>
      <c r="AA78" s="5"/>
      <c r="AB78" s="5"/>
      <c r="AC78" s="5"/>
      <c r="AD78" s="5"/>
      <c r="AE78" s="5"/>
      <c r="AF78" s="5"/>
      <c r="AG78" s="5"/>
    </row>
    <row r="79" spans="1:33" s="1" customFormat="1" ht="15.5">
      <c r="A79" s="208" t="s">
        <v>406</v>
      </c>
      <c r="B79" s="208" t="s">
        <v>376</v>
      </c>
      <c r="C79" s="208" t="s">
        <v>580</v>
      </c>
      <c r="D79" s="208" t="s">
        <v>577</v>
      </c>
      <c r="E79" s="215" t="s">
        <v>581</v>
      </c>
      <c r="F79" s="208" t="s">
        <v>582</v>
      </c>
      <c r="G79" s="208"/>
      <c r="H79" s="208"/>
      <c r="I79" s="208"/>
      <c r="J79" s="208"/>
      <c r="K79" s="208"/>
      <c r="L79" s="208"/>
      <c r="M79" s="208"/>
      <c r="N79" s="208"/>
      <c r="O79" s="208"/>
      <c r="P79" s="208"/>
      <c r="Q79" s="208"/>
      <c r="R79" s="208"/>
      <c r="S79" s="63"/>
      <c r="T79" s="63"/>
      <c r="U79" s="63"/>
      <c r="V79" s="63"/>
      <c r="W79" s="5"/>
      <c r="X79" s="5"/>
      <c r="Y79" s="5"/>
      <c r="Z79" s="5"/>
      <c r="AA79" s="5"/>
      <c r="AB79" s="5"/>
      <c r="AC79" s="5"/>
      <c r="AD79" s="5"/>
      <c r="AE79" s="5"/>
      <c r="AF79" s="5"/>
      <c r="AG79" s="5"/>
    </row>
    <row r="80" spans="1:33" s="1" customFormat="1" ht="15.5">
      <c r="A80" s="208" t="s">
        <v>406</v>
      </c>
      <c r="B80" s="208" t="s">
        <v>9</v>
      </c>
      <c r="C80" s="208" t="s">
        <v>576</v>
      </c>
      <c r="D80" s="208" t="s">
        <v>577</v>
      </c>
      <c r="E80" s="215" t="s">
        <v>583</v>
      </c>
      <c r="F80" s="208" t="s">
        <v>582</v>
      </c>
      <c r="G80" s="208"/>
      <c r="H80" s="208"/>
      <c r="I80" s="208"/>
      <c r="J80" s="208"/>
      <c r="K80" s="208"/>
      <c r="L80" s="208"/>
      <c r="M80" s="208"/>
      <c r="N80" s="208"/>
      <c r="O80" s="208"/>
      <c r="P80" s="208"/>
      <c r="Q80" s="208"/>
      <c r="R80" s="208"/>
      <c r="S80" s="63"/>
      <c r="T80" s="63"/>
      <c r="U80" s="63"/>
      <c r="V80" s="63"/>
      <c r="W80" s="5"/>
      <c r="X80" s="5"/>
      <c r="Y80" s="5"/>
      <c r="Z80" s="5"/>
      <c r="AA80" s="5"/>
      <c r="AB80" s="5"/>
      <c r="AC80" s="5"/>
      <c r="AD80" s="5"/>
      <c r="AE80" s="5"/>
      <c r="AF80" s="5"/>
      <c r="AG80" s="5"/>
    </row>
    <row r="81" spans="1:33" s="1" customFormat="1" ht="15.5">
      <c r="A81" s="208" t="s">
        <v>406</v>
      </c>
      <c r="B81" s="208" t="s">
        <v>420</v>
      </c>
      <c r="C81" s="208" t="s">
        <v>584</v>
      </c>
      <c r="D81" s="208" t="s">
        <v>577</v>
      </c>
      <c r="E81" s="215" t="s">
        <v>585</v>
      </c>
      <c r="F81" s="208" t="s">
        <v>586</v>
      </c>
      <c r="G81" s="208"/>
      <c r="H81" s="208"/>
      <c r="I81" s="208"/>
      <c r="J81" s="208"/>
      <c r="K81" s="208"/>
      <c r="L81" s="208"/>
      <c r="M81" s="208"/>
      <c r="N81" s="208"/>
      <c r="O81" s="208"/>
      <c r="P81" s="208"/>
      <c r="Q81" s="208"/>
      <c r="R81" s="208"/>
      <c r="S81" s="63"/>
      <c r="T81" s="63"/>
      <c r="U81" s="63"/>
      <c r="V81" s="63"/>
      <c r="W81" s="5"/>
      <c r="X81" s="5"/>
      <c r="Y81" s="5"/>
      <c r="Z81" s="5"/>
      <c r="AA81" s="5"/>
      <c r="AB81" s="5"/>
      <c r="AC81" s="5"/>
      <c r="AD81" s="5"/>
      <c r="AE81" s="5"/>
      <c r="AF81" s="5"/>
      <c r="AG81" s="5"/>
    </row>
    <row r="82" spans="1:33" s="1" customFormat="1" ht="15.5">
      <c r="A82" s="208" t="s">
        <v>406</v>
      </c>
      <c r="B82" s="208" t="s">
        <v>420</v>
      </c>
      <c r="C82" s="208" t="s">
        <v>588</v>
      </c>
      <c r="D82" s="208" t="s">
        <v>589</v>
      </c>
      <c r="E82" s="215" t="s">
        <v>590</v>
      </c>
      <c r="F82" s="208" t="s">
        <v>591</v>
      </c>
      <c r="G82" s="208"/>
      <c r="H82" s="208"/>
      <c r="I82" s="208"/>
      <c r="J82" s="208"/>
      <c r="K82" s="208"/>
      <c r="L82" s="208"/>
      <c r="M82" s="208"/>
      <c r="N82" s="208"/>
      <c r="O82" s="208"/>
      <c r="P82" s="208"/>
      <c r="Q82" s="208"/>
      <c r="R82" s="208"/>
      <c r="S82" s="63"/>
      <c r="T82" s="63"/>
      <c r="U82" s="63"/>
      <c r="V82" s="63"/>
      <c r="W82" s="5"/>
      <c r="X82" s="5"/>
      <c r="Y82" s="5"/>
      <c r="Z82" s="5"/>
      <c r="AA82" s="5"/>
      <c r="AB82" s="5"/>
      <c r="AC82" s="5"/>
      <c r="AD82" s="5"/>
      <c r="AE82" s="5"/>
      <c r="AF82" s="5"/>
      <c r="AG82" s="5"/>
    </row>
    <row r="83" spans="1:33" s="1" customFormat="1" ht="15.75" customHeight="1">
      <c r="A83" s="208" t="s">
        <v>587</v>
      </c>
      <c r="B83" s="208" t="s">
        <v>420</v>
      </c>
      <c r="C83" s="208" t="s">
        <v>592</v>
      </c>
      <c r="D83" s="208" t="s">
        <v>589</v>
      </c>
      <c r="E83" s="215" t="s">
        <v>593</v>
      </c>
      <c r="F83" s="208" t="s">
        <v>594</v>
      </c>
      <c r="G83" s="208"/>
      <c r="H83" s="208"/>
      <c r="I83" s="208"/>
      <c r="J83" s="208"/>
      <c r="K83" s="208"/>
      <c r="L83" s="208"/>
      <c r="M83" s="208"/>
      <c r="N83" s="208"/>
      <c r="O83" s="208"/>
      <c r="P83" s="208"/>
      <c r="Q83" s="208"/>
      <c r="R83" s="208"/>
      <c r="S83" s="63"/>
      <c r="T83" s="63"/>
      <c r="U83" s="63"/>
      <c r="V83" s="63"/>
      <c r="W83" s="5"/>
      <c r="X83" s="5"/>
      <c r="Y83" s="5"/>
      <c r="Z83" s="5"/>
      <c r="AA83" s="5"/>
      <c r="AB83" s="5"/>
      <c r="AC83" s="5"/>
      <c r="AD83" s="5"/>
      <c r="AE83" s="5"/>
      <c r="AF83" s="5"/>
      <c r="AG83" s="5"/>
    </row>
    <row r="84" spans="1:33" s="1" customFormat="1" ht="15.5">
      <c r="A84" s="208" t="s">
        <v>587</v>
      </c>
      <c r="B84" s="208" t="s">
        <v>420</v>
      </c>
      <c r="C84" s="208" t="s">
        <v>595</v>
      </c>
      <c r="D84" s="208" t="s">
        <v>589</v>
      </c>
      <c r="E84" s="215" t="s">
        <v>596</v>
      </c>
      <c r="F84" s="208" t="s">
        <v>597</v>
      </c>
      <c r="G84" s="208"/>
      <c r="H84" s="208"/>
      <c r="I84" s="208"/>
      <c r="J84" s="208"/>
      <c r="K84" s="208"/>
      <c r="L84" s="208"/>
      <c r="M84" s="208"/>
      <c r="N84" s="208"/>
      <c r="O84" s="208"/>
      <c r="P84" s="208"/>
      <c r="Q84" s="208"/>
      <c r="R84" s="208"/>
      <c r="S84" s="63"/>
      <c r="T84" s="63"/>
      <c r="U84" s="63"/>
      <c r="V84" s="63"/>
      <c r="W84" s="5"/>
      <c r="X84" s="5"/>
      <c r="Y84" s="5"/>
      <c r="Z84" s="5"/>
      <c r="AA84" s="5"/>
      <c r="AB84" s="5"/>
      <c r="AC84" s="5"/>
      <c r="AD84" s="5"/>
      <c r="AE84" s="5"/>
      <c r="AF84" s="5"/>
      <c r="AG84" s="5"/>
    </row>
    <row r="85" spans="1:33" s="1" customFormat="1" ht="15.5">
      <c r="A85" s="208" t="s">
        <v>587</v>
      </c>
      <c r="B85" s="208" t="s">
        <v>598</v>
      </c>
      <c r="C85" s="208" t="s">
        <v>599</v>
      </c>
      <c r="D85" s="208" t="s">
        <v>589</v>
      </c>
      <c r="E85" s="215" t="s">
        <v>600</v>
      </c>
      <c r="F85" s="208" t="s">
        <v>601</v>
      </c>
      <c r="G85" s="208"/>
      <c r="H85" s="208" t="s">
        <v>602</v>
      </c>
      <c r="I85" s="208"/>
      <c r="J85" s="208"/>
      <c r="K85" s="208"/>
      <c r="L85" s="208"/>
      <c r="M85" s="208"/>
      <c r="N85" s="208"/>
      <c r="O85" s="208"/>
      <c r="P85" s="208"/>
      <c r="Q85" s="208"/>
      <c r="R85" s="208"/>
      <c r="S85" s="63"/>
      <c r="T85" s="63"/>
      <c r="U85" s="63"/>
      <c r="V85" s="63"/>
      <c r="W85" s="5"/>
      <c r="X85" s="5"/>
      <c r="Y85" s="5"/>
      <c r="Z85" s="5"/>
      <c r="AA85" s="5"/>
      <c r="AB85" s="5"/>
      <c r="AC85" s="5"/>
      <c r="AD85" s="5"/>
      <c r="AE85" s="5"/>
      <c r="AF85" s="5"/>
      <c r="AG85" s="5"/>
    </row>
    <row r="86" spans="1:33" s="1" customFormat="1" ht="15.5">
      <c r="A86" s="208" t="s">
        <v>587</v>
      </c>
      <c r="B86" s="208" t="s">
        <v>598</v>
      </c>
      <c r="C86" s="208" t="s">
        <v>603</v>
      </c>
      <c r="D86" s="208" t="s">
        <v>589</v>
      </c>
      <c r="E86" s="215" t="s">
        <v>604</v>
      </c>
      <c r="F86" s="208" t="s">
        <v>605</v>
      </c>
      <c r="G86" s="208"/>
      <c r="H86" s="208" t="s">
        <v>606</v>
      </c>
      <c r="I86" s="208"/>
      <c r="J86" s="208"/>
      <c r="K86" s="208"/>
      <c r="L86" s="208"/>
      <c r="M86" s="208"/>
      <c r="N86" s="208"/>
      <c r="O86" s="208"/>
      <c r="P86" s="208"/>
      <c r="Q86" s="208"/>
      <c r="R86" s="208"/>
      <c r="S86" s="63"/>
      <c r="T86" s="63"/>
      <c r="U86" s="63"/>
      <c r="V86" s="63"/>
      <c r="W86" s="5"/>
      <c r="X86" s="5"/>
      <c r="Y86" s="5"/>
      <c r="Z86" s="5"/>
      <c r="AA86" s="5"/>
      <c r="AB86" s="5"/>
      <c r="AC86" s="5"/>
      <c r="AD86" s="5"/>
      <c r="AE86" s="5"/>
      <c r="AF86" s="5"/>
      <c r="AG86" s="5"/>
    </row>
    <row r="87" spans="1:33" s="1" customFormat="1" ht="15.5">
      <c r="A87" s="208" t="s">
        <v>587</v>
      </c>
      <c r="B87" s="208" t="s">
        <v>598</v>
      </c>
      <c r="C87" s="208" t="s">
        <v>607</v>
      </c>
      <c r="D87" s="208" t="s">
        <v>589</v>
      </c>
      <c r="E87" s="215" t="s">
        <v>608</v>
      </c>
      <c r="F87" s="208" t="s">
        <v>609</v>
      </c>
      <c r="G87" s="208"/>
      <c r="H87" s="208" t="s">
        <v>610</v>
      </c>
      <c r="I87" s="208"/>
      <c r="J87" s="208"/>
      <c r="K87" s="208"/>
      <c r="L87" s="208"/>
      <c r="M87" s="208"/>
      <c r="N87" s="208"/>
      <c r="O87" s="208"/>
      <c r="P87" s="208"/>
      <c r="Q87" s="208"/>
      <c r="R87" s="208"/>
      <c r="S87" s="63"/>
      <c r="T87" s="63"/>
      <c r="U87" s="63"/>
      <c r="V87" s="63"/>
      <c r="W87" s="5"/>
      <c r="X87" s="5"/>
      <c r="Y87" s="5"/>
      <c r="Z87" s="5"/>
      <c r="AA87" s="5"/>
      <c r="AB87" s="5"/>
      <c r="AC87" s="5"/>
      <c r="AD87" s="5"/>
      <c r="AE87" s="5"/>
      <c r="AF87" s="5"/>
      <c r="AG87" s="5"/>
    </row>
    <row r="88" spans="1:33" s="1" customFormat="1" ht="15.5">
      <c r="A88" s="208" t="s">
        <v>587</v>
      </c>
      <c r="B88" s="208" t="s">
        <v>598</v>
      </c>
      <c r="C88" s="208" t="s">
        <v>611</v>
      </c>
      <c r="D88" s="208" t="s">
        <v>589</v>
      </c>
      <c r="E88" s="215" t="s">
        <v>612</v>
      </c>
      <c r="F88" s="208" t="s">
        <v>613</v>
      </c>
      <c r="G88" s="208"/>
      <c r="H88" s="208" t="s">
        <v>614</v>
      </c>
      <c r="I88" s="208"/>
      <c r="J88" s="208"/>
      <c r="K88" s="208"/>
      <c r="L88" s="208"/>
      <c r="M88" s="208"/>
      <c r="N88" s="208"/>
      <c r="O88" s="208"/>
      <c r="P88" s="208"/>
      <c r="Q88" s="208"/>
      <c r="R88" s="208"/>
      <c r="S88" s="63"/>
      <c r="T88" s="63"/>
      <c r="U88" s="63"/>
      <c r="V88" s="63"/>
      <c r="W88" s="5"/>
      <c r="X88" s="5"/>
      <c r="Y88" s="5"/>
      <c r="Z88" s="5"/>
      <c r="AA88" s="5"/>
      <c r="AB88" s="5"/>
      <c r="AC88" s="5"/>
      <c r="AD88" s="5"/>
      <c r="AE88" s="5"/>
      <c r="AF88" s="5"/>
      <c r="AG88" s="5"/>
    </row>
    <row r="89" spans="1:33" s="1" customFormat="1" ht="15.5">
      <c r="A89" s="208" t="s">
        <v>587</v>
      </c>
      <c r="B89" s="208" t="s">
        <v>598</v>
      </c>
      <c r="C89" s="208" t="s">
        <v>615</v>
      </c>
      <c r="D89" s="208" t="s">
        <v>589</v>
      </c>
      <c r="E89" s="215" t="s">
        <v>616</v>
      </c>
      <c r="F89" s="208" t="s">
        <v>617</v>
      </c>
      <c r="G89" s="208"/>
      <c r="H89" s="208" t="s">
        <v>618</v>
      </c>
      <c r="I89" s="208"/>
      <c r="J89" s="208"/>
      <c r="K89" s="208"/>
      <c r="L89" s="208"/>
      <c r="M89" s="208"/>
      <c r="N89" s="208"/>
      <c r="O89" s="208"/>
      <c r="P89" s="208"/>
      <c r="Q89" s="208"/>
      <c r="R89" s="208"/>
      <c r="S89" s="63"/>
      <c r="T89" s="63"/>
      <c r="U89" s="63"/>
      <c r="V89" s="63"/>
      <c r="W89" s="5"/>
      <c r="X89" s="5"/>
      <c r="Y89" s="5"/>
      <c r="Z89" s="5"/>
      <c r="AA89" s="5"/>
      <c r="AB89" s="5"/>
      <c r="AC89" s="5"/>
      <c r="AD89" s="5"/>
      <c r="AE89" s="5"/>
      <c r="AF89" s="5"/>
      <c r="AG89" s="5"/>
    </row>
    <row r="90" spans="1:33" s="1" customFormat="1" ht="15.5">
      <c r="A90" s="208" t="s">
        <v>587</v>
      </c>
      <c r="B90" s="208" t="s">
        <v>598</v>
      </c>
      <c r="C90" s="208" t="s">
        <v>619</v>
      </c>
      <c r="D90" s="208" t="s">
        <v>589</v>
      </c>
      <c r="E90" s="215" t="s">
        <v>620</v>
      </c>
      <c r="F90" s="208" t="s">
        <v>621</v>
      </c>
      <c r="G90" s="208"/>
      <c r="H90" s="208" t="s">
        <v>622</v>
      </c>
      <c r="I90" s="208"/>
      <c r="J90" s="208"/>
      <c r="K90" s="208"/>
      <c r="L90" s="208"/>
      <c r="M90" s="208"/>
      <c r="N90" s="208"/>
      <c r="O90" s="208"/>
      <c r="P90" s="208"/>
      <c r="Q90" s="208"/>
      <c r="R90" s="208"/>
      <c r="S90" s="63"/>
      <c r="T90" s="63"/>
      <c r="U90" s="63"/>
      <c r="V90" s="63"/>
      <c r="W90" s="5"/>
      <c r="X90" s="5"/>
      <c r="Y90" s="5"/>
      <c r="Z90" s="5"/>
      <c r="AA90" s="5"/>
      <c r="AB90" s="5"/>
      <c r="AC90" s="5"/>
      <c r="AD90" s="5"/>
      <c r="AE90" s="5"/>
      <c r="AF90" s="5"/>
      <c r="AG90" s="5"/>
    </row>
    <row r="91" spans="1:33" s="1" customFormat="1" ht="15.5">
      <c r="A91" s="208" t="s">
        <v>587</v>
      </c>
      <c r="B91" s="208" t="s">
        <v>598</v>
      </c>
      <c r="C91" s="208" t="s">
        <v>623</v>
      </c>
      <c r="D91" s="208" t="s">
        <v>589</v>
      </c>
      <c r="E91" s="215" t="s">
        <v>624</v>
      </c>
      <c r="F91" s="208" t="s">
        <v>625</v>
      </c>
      <c r="G91" s="208"/>
      <c r="H91" s="208" t="s">
        <v>626</v>
      </c>
      <c r="I91" s="208"/>
      <c r="J91" s="208"/>
      <c r="K91" s="208"/>
      <c r="L91" s="208"/>
      <c r="M91" s="208"/>
      <c r="N91" s="208"/>
      <c r="O91" s="208"/>
      <c r="P91" s="208"/>
      <c r="Q91" s="208"/>
      <c r="R91" s="208"/>
      <c r="S91" s="63"/>
      <c r="T91" s="63"/>
      <c r="U91" s="63"/>
      <c r="V91" s="63"/>
      <c r="W91" s="5"/>
      <c r="X91" s="5"/>
      <c r="Y91" s="5"/>
      <c r="Z91" s="5"/>
      <c r="AA91" s="5"/>
      <c r="AB91" s="5"/>
      <c r="AC91" s="5"/>
      <c r="AD91" s="5"/>
      <c r="AE91" s="5"/>
      <c r="AF91" s="5"/>
      <c r="AG91" s="5"/>
    </row>
    <row r="92" spans="1:33" s="1" customFormat="1" ht="15.5">
      <c r="A92" s="208" t="s">
        <v>587</v>
      </c>
      <c r="B92" s="208" t="s">
        <v>598</v>
      </c>
      <c r="C92" s="208" t="s">
        <v>627</v>
      </c>
      <c r="D92" s="208" t="s">
        <v>589</v>
      </c>
      <c r="E92" s="215" t="s">
        <v>628</v>
      </c>
      <c r="F92" s="208" t="s">
        <v>629</v>
      </c>
      <c r="G92" s="208"/>
      <c r="H92" s="208" t="s">
        <v>630</v>
      </c>
      <c r="I92" s="208"/>
      <c r="J92" s="208"/>
      <c r="K92" s="208"/>
      <c r="L92" s="208"/>
      <c r="M92" s="208"/>
      <c r="N92" s="208"/>
      <c r="O92" s="208"/>
      <c r="P92" s="208"/>
      <c r="Q92" s="208"/>
      <c r="R92" s="208"/>
      <c r="S92" s="63"/>
      <c r="T92" s="63"/>
      <c r="U92" s="63"/>
      <c r="V92" s="63"/>
      <c r="W92" s="5"/>
      <c r="X92" s="5"/>
      <c r="Y92" s="5"/>
      <c r="Z92" s="5"/>
      <c r="AA92" s="5"/>
      <c r="AB92" s="5"/>
      <c r="AC92" s="5"/>
      <c r="AD92" s="5"/>
      <c r="AE92" s="5"/>
      <c r="AF92" s="5"/>
      <c r="AG92" s="5"/>
    </row>
    <row r="93" spans="1:33" s="1" customFormat="1" ht="15.5">
      <c r="A93" s="208" t="s">
        <v>587</v>
      </c>
      <c r="B93" s="208" t="s">
        <v>598</v>
      </c>
      <c r="C93" s="208" t="s">
        <v>631</v>
      </c>
      <c r="D93" s="208" t="s">
        <v>589</v>
      </c>
      <c r="E93" s="215" t="s">
        <v>632</v>
      </c>
      <c r="F93" s="208" t="s">
        <v>633</v>
      </c>
      <c r="G93" s="208"/>
      <c r="H93" s="208" t="s">
        <v>634</v>
      </c>
      <c r="I93" s="208"/>
      <c r="J93" s="208"/>
      <c r="K93" s="208"/>
      <c r="L93" s="208"/>
      <c r="M93" s="208"/>
      <c r="N93" s="208"/>
      <c r="O93" s="208"/>
      <c r="P93" s="208"/>
      <c r="Q93" s="208"/>
      <c r="R93" s="208"/>
      <c r="S93" s="63"/>
      <c r="T93" s="63"/>
      <c r="U93" s="63"/>
      <c r="V93" s="63"/>
      <c r="W93" s="5"/>
      <c r="X93" s="5"/>
      <c r="Y93" s="5"/>
      <c r="Z93" s="5"/>
      <c r="AA93" s="5"/>
      <c r="AB93" s="5"/>
      <c r="AC93" s="5"/>
      <c r="AD93" s="5"/>
      <c r="AE93" s="5"/>
      <c r="AF93" s="5"/>
      <c r="AG93" s="5"/>
    </row>
    <row r="94" spans="1:33" s="1" customFormat="1" ht="15.5">
      <c r="A94" s="208" t="s">
        <v>587</v>
      </c>
      <c r="B94" s="208" t="s">
        <v>635</v>
      </c>
      <c r="C94" s="208" t="s">
        <v>636</v>
      </c>
      <c r="D94" s="208" t="s">
        <v>637</v>
      </c>
      <c r="E94" s="218" t="s">
        <v>638</v>
      </c>
      <c r="F94" s="208" t="s">
        <v>639</v>
      </c>
      <c r="G94" s="208"/>
      <c r="H94" s="208"/>
      <c r="I94" s="208"/>
      <c r="J94" s="208"/>
      <c r="K94" s="208"/>
      <c r="L94" s="208"/>
      <c r="M94" s="208"/>
      <c r="N94" s="208"/>
      <c r="O94" s="208"/>
      <c r="P94" s="208"/>
      <c r="Q94" s="208"/>
      <c r="R94" s="208"/>
      <c r="S94" s="63"/>
      <c r="T94" s="63"/>
      <c r="U94" s="63"/>
      <c r="V94" s="63"/>
      <c r="W94" s="5"/>
      <c r="X94" s="5"/>
      <c r="Y94" s="5"/>
      <c r="Z94" s="5"/>
      <c r="AA94" s="5"/>
      <c r="AB94" s="5"/>
      <c r="AC94" s="5"/>
      <c r="AD94" s="5"/>
      <c r="AE94" s="5"/>
      <c r="AF94" s="5"/>
      <c r="AG94" s="5"/>
    </row>
    <row r="95" spans="1:33" s="1" customFormat="1" ht="15.5">
      <c r="A95" s="208" t="s">
        <v>412</v>
      </c>
      <c r="B95" s="208" t="s">
        <v>635</v>
      </c>
      <c r="C95" s="208" t="s">
        <v>640</v>
      </c>
      <c r="D95" s="208" t="s">
        <v>637</v>
      </c>
      <c r="E95" s="218" t="s">
        <v>641</v>
      </c>
      <c r="F95" s="208" t="s">
        <v>642</v>
      </c>
      <c r="G95" s="208"/>
      <c r="H95" s="208"/>
      <c r="I95" s="208"/>
      <c r="J95" s="208"/>
      <c r="K95" s="208"/>
      <c r="L95" s="208"/>
      <c r="M95" s="208"/>
      <c r="N95" s="208"/>
      <c r="O95" s="208"/>
      <c r="P95" s="208"/>
      <c r="Q95" s="208"/>
      <c r="R95" s="208"/>
      <c r="S95" s="63"/>
      <c r="T95" s="63"/>
      <c r="U95" s="63"/>
      <c r="V95" s="63"/>
      <c r="W95" s="5"/>
      <c r="X95" s="5"/>
      <c r="Y95" s="5"/>
      <c r="Z95" s="5"/>
      <c r="AA95" s="5"/>
      <c r="AB95" s="5"/>
      <c r="AC95" s="5"/>
      <c r="AD95" s="5"/>
      <c r="AE95" s="5"/>
      <c r="AF95" s="5"/>
      <c r="AG95" s="5"/>
    </row>
    <row r="96" spans="1:33" s="1" customFormat="1" ht="15.5">
      <c r="A96" s="208" t="s">
        <v>412</v>
      </c>
      <c r="B96" s="208" t="s">
        <v>643</v>
      </c>
      <c r="C96" s="208" t="s">
        <v>644</v>
      </c>
      <c r="D96" s="208" t="s">
        <v>637</v>
      </c>
      <c r="E96" s="218" t="s">
        <v>645</v>
      </c>
      <c r="F96" s="208" t="s">
        <v>646</v>
      </c>
      <c r="G96" s="208"/>
      <c r="H96" s="208"/>
      <c r="I96" s="208"/>
      <c r="J96" s="208"/>
      <c r="K96" s="208"/>
      <c r="L96" s="208"/>
      <c r="M96" s="208"/>
      <c r="N96" s="208"/>
      <c r="O96" s="208"/>
      <c r="P96" s="208"/>
      <c r="Q96" s="208"/>
      <c r="R96" s="208"/>
      <c r="S96" s="63"/>
      <c r="T96" s="63"/>
      <c r="U96" s="63"/>
      <c r="V96" s="63"/>
      <c r="W96" s="5"/>
      <c r="X96" s="5"/>
      <c r="Y96" s="5"/>
      <c r="Z96" s="5"/>
      <c r="AA96" s="5"/>
      <c r="AB96" s="5"/>
      <c r="AC96" s="5"/>
      <c r="AD96" s="5"/>
      <c r="AE96" s="5"/>
      <c r="AF96" s="5"/>
      <c r="AG96" s="5"/>
    </row>
    <row r="97" spans="1:33" s="1" customFormat="1" ht="15.5">
      <c r="A97" s="208" t="s">
        <v>412</v>
      </c>
      <c r="B97" s="208" t="s">
        <v>643</v>
      </c>
      <c r="C97" s="208" t="s">
        <v>647</v>
      </c>
      <c r="D97" s="208" t="s">
        <v>637</v>
      </c>
      <c r="E97" s="218" t="s">
        <v>648</v>
      </c>
      <c r="F97" s="208" t="s">
        <v>649</v>
      </c>
      <c r="G97" s="208"/>
      <c r="H97" s="208"/>
      <c r="I97" s="208"/>
      <c r="J97" s="208"/>
      <c r="K97" s="208"/>
      <c r="L97" s="208"/>
      <c r="M97" s="208"/>
      <c r="N97" s="208"/>
      <c r="O97" s="208"/>
      <c r="P97" s="208"/>
      <c r="Q97" s="208"/>
      <c r="R97" s="208"/>
      <c r="S97" s="63"/>
      <c r="T97" s="63"/>
      <c r="U97" s="63"/>
      <c r="V97" s="63"/>
      <c r="W97" s="5"/>
      <c r="X97" s="5"/>
      <c r="Y97" s="5"/>
      <c r="Z97" s="5"/>
      <c r="AA97" s="5"/>
      <c r="AB97" s="5"/>
      <c r="AC97" s="5"/>
      <c r="AD97" s="5"/>
      <c r="AE97" s="5"/>
      <c r="AF97" s="5"/>
      <c r="AG97" s="5"/>
    </row>
    <row r="98" spans="1:33" s="1" customFormat="1" ht="15.5">
      <c r="A98" s="208" t="s">
        <v>412</v>
      </c>
      <c r="B98" s="208" t="s">
        <v>643</v>
      </c>
      <c r="C98" s="208" t="s">
        <v>650</v>
      </c>
      <c r="D98" s="208" t="s">
        <v>637</v>
      </c>
      <c r="E98" s="218" t="s">
        <v>651</v>
      </c>
      <c r="F98" s="208" t="s">
        <v>652</v>
      </c>
      <c r="G98" s="208"/>
      <c r="H98" s="208"/>
      <c r="I98" s="208"/>
      <c r="J98" s="208"/>
      <c r="K98" s="208"/>
      <c r="L98" s="208"/>
      <c r="M98" s="208"/>
      <c r="N98" s="208"/>
      <c r="O98" s="208"/>
      <c r="P98" s="208"/>
      <c r="Q98" s="208"/>
      <c r="R98" s="208"/>
      <c r="S98" s="63"/>
      <c r="T98" s="63"/>
      <c r="U98" s="63"/>
      <c r="V98" s="63"/>
      <c r="W98" s="5"/>
      <c r="X98" s="5"/>
      <c r="Y98" s="5"/>
      <c r="Z98" s="5"/>
      <c r="AA98" s="5"/>
      <c r="AB98" s="5"/>
      <c r="AC98" s="5"/>
      <c r="AD98" s="5"/>
      <c r="AE98" s="5"/>
      <c r="AF98" s="5"/>
      <c r="AG98" s="5"/>
    </row>
    <row r="99" spans="1:33" s="1" customFormat="1" ht="15.5">
      <c r="A99" s="208" t="s">
        <v>412</v>
      </c>
      <c r="B99" s="208" t="s">
        <v>643</v>
      </c>
      <c r="C99" s="208" t="s">
        <v>653</v>
      </c>
      <c r="D99" s="208" t="s">
        <v>637</v>
      </c>
      <c r="E99" s="218" t="s">
        <v>654</v>
      </c>
      <c r="F99" s="208" t="s">
        <v>655</v>
      </c>
      <c r="G99" s="208"/>
      <c r="H99" s="208"/>
      <c r="I99" s="208"/>
      <c r="J99" s="208"/>
      <c r="K99" s="208"/>
      <c r="L99" s="208"/>
      <c r="M99" s="208"/>
      <c r="N99" s="208"/>
      <c r="O99" s="208"/>
      <c r="P99" s="208"/>
      <c r="Q99" s="208"/>
      <c r="R99" s="208"/>
      <c r="S99" s="63"/>
      <c r="T99" s="63"/>
      <c r="U99" s="63"/>
      <c r="V99" s="63"/>
      <c r="W99" s="5"/>
      <c r="X99" s="5"/>
      <c r="Y99" s="5"/>
      <c r="Z99" s="5"/>
      <c r="AA99" s="5"/>
      <c r="AB99" s="5"/>
      <c r="AC99" s="5"/>
      <c r="AD99" s="5"/>
      <c r="AE99" s="5"/>
      <c r="AF99" s="5"/>
      <c r="AG99" s="5"/>
    </row>
    <row r="100" spans="1:33" s="1" customFormat="1" ht="15.5">
      <c r="A100" s="208" t="s">
        <v>412</v>
      </c>
      <c r="B100" s="208" t="s">
        <v>643</v>
      </c>
      <c r="C100" s="208" t="s">
        <v>656</v>
      </c>
      <c r="D100" s="208" t="s">
        <v>637</v>
      </c>
      <c r="E100" s="218" t="s">
        <v>657</v>
      </c>
      <c r="F100" s="208" t="s">
        <v>658</v>
      </c>
      <c r="G100" s="208"/>
      <c r="H100" s="208"/>
      <c r="I100" s="208"/>
      <c r="J100" s="208"/>
      <c r="K100" s="208"/>
      <c r="L100" s="208"/>
      <c r="M100" s="208"/>
      <c r="N100" s="208"/>
      <c r="O100" s="208"/>
      <c r="P100" s="208"/>
      <c r="Q100" s="208"/>
      <c r="R100" s="208"/>
      <c r="S100" s="63"/>
      <c r="T100" s="63"/>
      <c r="U100" s="63"/>
      <c r="V100" s="63"/>
      <c r="W100" s="5"/>
      <c r="X100" s="5"/>
      <c r="Y100" s="5"/>
      <c r="Z100" s="5"/>
      <c r="AA100" s="5"/>
      <c r="AB100" s="5"/>
      <c r="AC100" s="5"/>
      <c r="AD100" s="5"/>
      <c r="AE100" s="5"/>
      <c r="AF100" s="5"/>
      <c r="AG100" s="5"/>
    </row>
    <row r="101" spans="1:33" s="1" customFormat="1" ht="15.5">
      <c r="A101" s="208" t="s">
        <v>412</v>
      </c>
      <c r="B101" s="208" t="s">
        <v>643</v>
      </c>
      <c r="C101" s="208" t="s">
        <v>659</v>
      </c>
      <c r="D101" s="208" t="s">
        <v>637</v>
      </c>
      <c r="E101" s="218" t="s">
        <v>660</v>
      </c>
      <c r="F101" s="208" t="s">
        <v>661</v>
      </c>
      <c r="G101" s="208"/>
      <c r="H101" s="208"/>
      <c r="I101" s="208"/>
      <c r="J101" s="208"/>
      <c r="K101" s="208"/>
      <c r="L101" s="208"/>
      <c r="M101" s="208"/>
      <c r="N101" s="208"/>
      <c r="O101" s="208"/>
      <c r="P101" s="208"/>
      <c r="Q101" s="208"/>
      <c r="R101" s="208"/>
      <c r="S101" s="63"/>
      <c r="T101" s="63"/>
      <c r="U101" s="63"/>
      <c r="V101" s="63"/>
      <c r="W101" s="5"/>
      <c r="X101" s="5"/>
      <c r="Y101" s="5"/>
      <c r="Z101" s="5"/>
      <c r="AA101" s="5"/>
      <c r="AB101" s="5"/>
      <c r="AC101" s="5"/>
      <c r="AD101" s="5"/>
      <c r="AE101" s="5"/>
      <c r="AF101" s="5"/>
      <c r="AG101" s="5"/>
    </row>
    <row r="102" spans="1:33" s="1" customFormat="1" ht="15.5">
      <c r="A102" s="208" t="s">
        <v>412</v>
      </c>
      <c r="B102" s="208" t="s">
        <v>643</v>
      </c>
      <c r="C102" s="208" t="s">
        <v>662</v>
      </c>
      <c r="D102" s="208" t="s">
        <v>637</v>
      </c>
      <c r="E102" s="218" t="s">
        <v>663</v>
      </c>
      <c r="F102" s="208" t="s">
        <v>664</v>
      </c>
      <c r="G102" s="208"/>
      <c r="H102" s="208"/>
      <c r="I102" s="208"/>
      <c r="J102" s="208"/>
      <c r="K102" s="208"/>
      <c r="L102" s="208"/>
      <c r="M102" s="208"/>
      <c r="N102" s="208"/>
      <c r="O102" s="208"/>
      <c r="P102" s="208"/>
      <c r="Q102" s="208"/>
      <c r="R102" s="208"/>
      <c r="S102" s="63"/>
      <c r="T102" s="63"/>
      <c r="U102" s="63"/>
      <c r="V102" s="63"/>
      <c r="W102" s="5"/>
      <c r="X102" s="5"/>
      <c r="Y102" s="5"/>
      <c r="Z102" s="5"/>
      <c r="AA102" s="5"/>
      <c r="AB102" s="5"/>
      <c r="AC102" s="5"/>
      <c r="AD102" s="5"/>
      <c r="AE102" s="5"/>
      <c r="AF102" s="5"/>
      <c r="AG102" s="5"/>
    </row>
    <row r="103" spans="1:33" s="1" customFormat="1" ht="15.5">
      <c r="A103" s="208" t="s">
        <v>412</v>
      </c>
      <c r="B103" s="208" t="s">
        <v>643</v>
      </c>
      <c r="C103" s="208" t="s">
        <v>665</v>
      </c>
      <c r="D103" s="208" t="s">
        <v>637</v>
      </c>
      <c r="E103" s="218" t="s">
        <v>666</v>
      </c>
      <c r="F103" s="208" t="s">
        <v>667</v>
      </c>
      <c r="G103" s="208"/>
      <c r="H103" s="208"/>
      <c r="I103" s="208"/>
      <c r="J103" s="208"/>
      <c r="K103" s="208"/>
      <c r="L103" s="208"/>
      <c r="M103" s="208"/>
      <c r="N103" s="208"/>
      <c r="O103" s="208"/>
      <c r="P103" s="208"/>
      <c r="Q103" s="208"/>
      <c r="R103" s="208"/>
      <c r="S103" s="63"/>
      <c r="T103" s="63"/>
      <c r="U103" s="63"/>
      <c r="V103" s="63"/>
      <c r="W103" s="5"/>
      <c r="X103" s="5"/>
      <c r="Y103" s="5"/>
      <c r="Z103" s="5"/>
      <c r="AA103" s="5"/>
      <c r="AB103" s="5"/>
      <c r="AC103" s="5"/>
      <c r="AD103" s="5"/>
      <c r="AE103" s="5"/>
      <c r="AF103" s="5"/>
      <c r="AG103" s="5"/>
    </row>
    <row r="104" spans="1:33" s="1" customFormat="1" ht="15.5">
      <c r="A104" s="208" t="s">
        <v>412</v>
      </c>
      <c r="B104" s="208" t="s">
        <v>643</v>
      </c>
      <c r="C104" s="208" t="s">
        <v>668</v>
      </c>
      <c r="D104" s="208" t="s">
        <v>669</v>
      </c>
      <c r="E104" s="218" t="s">
        <v>670</v>
      </c>
      <c r="F104" s="208" t="s">
        <v>671</v>
      </c>
      <c r="G104" s="208"/>
      <c r="H104" s="208"/>
      <c r="I104" s="208"/>
      <c r="J104" s="208"/>
      <c r="K104" s="208"/>
      <c r="L104" s="208"/>
      <c r="M104" s="208"/>
      <c r="N104" s="208"/>
      <c r="O104" s="208"/>
      <c r="P104" s="208"/>
      <c r="Q104" s="208"/>
      <c r="R104" s="208"/>
      <c r="S104" s="63"/>
      <c r="T104" s="63"/>
      <c r="U104" s="63"/>
      <c r="V104" s="63"/>
      <c r="W104" s="5"/>
      <c r="X104" s="5"/>
      <c r="Y104" s="5"/>
      <c r="Z104" s="5"/>
      <c r="AA104" s="5"/>
      <c r="AB104" s="5"/>
      <c r="AC104" s="5"/>
      <c r="AD104" s="5"/>
      <c r="AE104" s="5"/>
      <c r="AF104" s="5"/>
      <c r="AG104" s="5"/>
    </row>
    <row r="105" spans="1:33" s="1" customFormat="1" ht="15.5">
      <c r="A105" s="208" t="s">
        <v>412</v>
      </c>
      <c r="B105" s="208" t="s">
        <v>672</v>
      </c>
      <c r="C105" s="208" t="s">
        <v>673</v>
      </c>
      <c r="D105" s="208" t="s">
        <v>669</v>
      </c>
      <c r="E105" s="218" t="s">
        <v>674</v>
      </c>
      <c r="F105" s="208" t="s">
        <v>675</v>
      </c>
      <c r="G105" s="208"/>
      <c r="H105" s="208"/>
      <c r="I105" s="208"/>
      <c r="J105" s="208"/>
      <c r="K105" s="208"/>
      <c r="L105" s="208"/>
      <c r="M105" s="208"/>
      <c r="N105" s="208"/>
      <c r="O105" s="208"/>
      <c r="P105" s="208"/>
      <c r="Q105" s="208"/>
      <c r="R105" s="208"/>
      <c r="S105" s="63"/>
      <c r="T105" s="63"/>
      <c r="U105" s="63"/>
      <c r="V105" s="63"/>
      <c r="W105" s="5"/>
      <c r="X105" s="5"/>
      <c r="Y105" s="5"/>
      <c r="Z105" s="5"/>
      <c r="AA105" s="5"/>
      <c r="AB105" s="5"/>
      <c r="AC105" s="5"/>
      <c r="AD105" s="5"/>
      <c r="AE105" s="5"/>
      <c r="AF105" s="5"/>
      <c r="AG105" s="5"/>
    </row>
    <row r="106" spans="1:33" s="1" customFormat="1" ht="15.5">
      <c r="A106" s="208" t="s">
        <v>412</v>
      </c>
      <c r="B106" s="208" t="s">
        <v>672</v>
      </c>
      <c r="C106" s="208" t="s">
        <v>676</v>
      </c>
      <c r="D106" s="208" t="s">
        <v>637</v>
      </c>
      <c r="E106" s="218" t="s">
        <v>677</v>
      </c>
      <c r="F106" s="208" t="s">
        <v>678</v>
      </c>
      <c r="G106" s="208"/>
      <c r="H106" s="208"/>
      <c r="I106" s="208"/>
      <c r="J106" s="208"/>
      <c r="K106" s="208"/>
      <c r="L106" s="208"/>
      <c r="M106" s="208"/>
      <c r="N106" s="208"/>
      <c r="O106" s="208"/>
      <c r="P106" s="208"/>
      <c r="Q106" s="208"/>
      <c r="R106" s="208"/>
      <c r="S106" s="63"/>
      <c r="T106" s="63"/>
      <c r="U106" s="63"/>
      <c r="V106" s="63"/>
      <c r="W106" s="5"/>
      <c r="X106" s="5"/>
      <c r="Y106" s="5"/>
      <c r="Z106" s="5"/>
      <c r="AA106" s="5"/>
      <c r="AB106" s="5"/>
      <c r="AC106" s="5"/>
      <c r="AD106" s="5"/>
      <c r="AE106" s="5"/>
      <c r="AF106" s="5"/>
      <c r="AG106" s="5"/>
    </row>
    <row r="107" spans="1:33">
      <c r="A107" s="63"/>
      <c r="B107" s="63"/>
      <c r="C107" s="63"/>
      <c r="D107" s="63"/>
      <c r="E107" s="63"/>
      <c r="F107" s="63"/>
      <c r="G107" s="63"/>
      <c r="H107" s="63"/>
      <c r="I107" s="63"/>
      <c r="J107" s="63"/>
      <c r="K107" s="63"/>
      <c r="L107" s="63"/>
      <c r="M107" s="63"/>
      <c r="N107" s="63"/>
      <c r="O107" s="63"/>
      <c r="P107" s="63"/>
      <c r="Q107" s="63"/>
      <c r="R107" s="63"/>
      <c r="S107" s="63"/>
      <c r="T107" s="63"/>
      <c r="U107" s="63"/>
      <c r="V107" s="63"/>
      <c r="W107" s="5"/>
      <c r="X107" s="5"/>
      <c r="Y107" s="5"/>
      <c r="Z107" s="5"/>
      <c r="AA107" s="5"/>
      <c r="AB107" s="5"/>
      <c r="AC107" s="5"/>
      <c r="AD107" s="5"/>
      <c r="AE107" s="5"/>
      <c r="AF107" s="5"/>
      <c r="AG107" s="5"/>
    </row>
    <row r="108" spans="1:3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row>
    <row r="109" spans="1:3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row>
    <row r="110" spans="1:33">
      <c r="A110" s="5"/>
    </row>
  </sheetData>
  <hyperlinks>
    <hyperlink ref="A1" location="Contenido!A1" display="Volver al Contenido" xr:uid="{6AD64E9E-5F4C-408D-9613-05CF760A1292}"/>
    <hyperlink ref="E19" r:id="rId1" xr:uid="{50E6236C-9EFF-4F99-A5E1-4E05BB5806D0}"/>
    <hyperlink ref="E20:E41" r:id="rId2" display="http://apolo.creg.gov.co/Publicac.nsf/Documentos-Resoluciones?openview=" xr:uid="{FE37B7B3-A077-4EC3-9AFD-891A4E2BDC51}"/>
    <hyperlink ref="E13" r:id="rId3" xr:uid="{1A5E00C0-C6B7-4555-ABC7-80258B5DF544}"/>
    <hyperlink ref="E63" r:id="rId4" xr:uid="{2402C9D3-8F4E-4555-8D4F-4EA6EE2E39A2}"/>
    <hyperlink ref="E64" r:id="rId5" xr:uid="{5C33B2B4-AE6D-4B86-A68E-CFCBBB067D33}"/>
    <hyperlink ref="E65" r:id="rId6" xr:uid="{98034426-7138-4AC9-BBAA-4488EBFF297C}"/>
    <hyperlink ref="E66" r:id="rId7" xr:uid="{D2588BFE-E9FC-4D7E-BF28-1373C2D0BF40}"/>
    <hyperlink ref="E67" r:id="rId8" xr:uid="{81D0B882-EF6C-463E-961E-D664AE213AE0}"/>
    <hyperlink ref="E69" r:id="rId9" xr:uid="{256A51F1-A0FE-475D-B9FC-A19F33839826}"/>
    <hyperlink ref="E68" r:id="rId10" xr:uid="{D8C06361-2B1D-4D01-8B2C-F457DD75A4A9}"/>
    <hyperlink ref="E71" r:id="rId11" xr:uid="{136C395D-62B1-4119-8709-9C1CD2D21226}"/>
    <hyperlink ref="E70" r:id="rId12" xr:uid="{3012B163-8E1F-4847-BAAD-5E5F1FCC6F36}"/>
    <hyperlink ref="E72" r:id="rId13" xr:uid="{B0A6E774-4631-4373-89E0-62F60660E660}"/>
    <hyperlink ref="E73" r:id="rId14" xr:uid="{B6DE4039-318F-4DE8-BE94-97EABC6E41F1}"/>
    <hyperlink ref="E74" r:id="rId15" xr:uid="{6DCF6993-390C-49CC-AE3C-D79DE46A75CE}"/>
    <hyperlink ref="E75" r:id="rId16" xr:uid="{7CEA5435-9DB1-4DFE-93F4-828F573B87FB}"/>
    <hyperlink ref="E76" r:id="rId17" xr:uid="{5A0E53F4-F10B-4A93-9904-E709328B1062}"/>
    <hyperlink ref="E77" r:id="rId18" xr:uid="{BBFADBFE-536F-48A1-96DE-EE78FD4BC7B2}"/>
    <hyperlink ref="E78" r:id="rId19" xr:uid="{B1BBCA14-0CF4-4FB9-8593-CEF825FDF0A7}"/>
    <hyperlink ref="E79" r:id="rId20" xr:uid="{60FA794C-5EB0-4A16-BD6F-C4CB577E4297}"/>
    <hyperlink ref="E80" r:id="rId21" xr:uid="{F41ABF2B-E59A-498C-9C58-133F7FA4ACDD}"/>
    <hyperlink ref="E81" r:id="rId22" xr:uid="{88C03177-0C63-4079-810E-83C314E99B51}"/>
    <hyperlink ref="E85" r:id="rId23" xr:uid="{2010E289-D865-406F-B768-E9E5CE2AF7F6}"/>
    <hyperlink ref="E83" r:id="rId24" xr:uid="{8AC64AB9-55B7-45C2-BC3E-79F7CCE0FEF5}"/>
    <hyperlink ref="E9" r:id="rId25" xr:uid="{2CBC480D-964E-4964-B8CC-49260F608303}"/>
    <hyperlink ref="E16" r:id="rId26" xr:uid="{C820126C-40B9-4ED2-940E-1113A3382D07}"/>
    <hyperlink ref="E18" r:id="rId27" xr:uid="{42A0059C-CA3A-4F5F-9122-B82BEB2852A6}"/>
    <hyperlink ref="E42" r:id="rId28" xr:uid="{FEBA0877-0214-4C15-A7BA-00903D5984F6}"/>
    <hyperlink ref="E30" r:id="rId29" xr:uid="{F1BA2D75-59F2-43FB-B2B2-5B3FC075FC32}"/>
    <hyperlink ref="E29" r:id="rId30" xr:uid="{1B206C4C-D918-49F4-AC9D-2FF22C814D02}"/>
    <hyperlink ref="E10" r:id="rId31" xr:uid="{B3D84226-584F-47BF-8D18-6246D741D8C3}"/>
    <hyperlink ref="E11" r:id="rId32" xr:uid="{D8EBDCE1-9CD1-4057-85A3-89A8D4E29C28}"/>
    <hyperlink ref="E12" r:id="rId33" xr:uid="{C5117AE7-D77A-4D8A-8D42-6703870ECCF9}"/>
    <hyperlink ref="E15" r:id="rId34" xr:uid="{3C5916C3-D42B-4FD0-9923-1E483F3DBBEC}"/>
    <hyperlink ref="E14" r:id="rId35" xr:uid="{E5F758CF-65A2-4826-8393-B997DEB844B4}"/>
    <hyperlink ref="E17" r:id="rId36" xr:uid="{A6EEC520-2008-4DB1-B769-C994168CC6F4}"/>
    <hyperlink ref="E44" r:id="rId37" xr:uid="{B46110BB-EFB7-4DCF-B856-31E1641E96F1}"/>
    <hyperlink ref="E45" r:id="rId38" xr:uid="{EB1D42DE-4B90-4A4B-A29E-AC43EC5C44A1}"/>
    <hyperlink ref="E46" r:id="rId39" xr:uid="{896CEF87-6EF9-4F0C-B554-7D049269AF6E}"/>
    <hyperlink ref="E49" r:id="rId40" xr:uid="{0B528D5E-9AC8-448F-A15C-E737BFB17A62}"/>
    <hyperlink ref="E50" r:id="rId41" xr:uid="{C80FDCA7-10D9-4DD8-87FC-246C7B5C5219}"/>
    <hyperlink ref="E52" r:id="rId42" xr:uid="{7A84C775-E168-4168-8244-706BA2328A98}"/>
    <hyperlink ref="E56" r:id="rId43" xr:uid="{B1096C48-5901-4F4E-B525-52CB621D59BF}"/>
    <hyperlink ref="E57" r:id="rId44" xr:uid="{99787C69-D472-4BD1-BBAD-150B4E1EA254}"/>
    <hyperlink ref="E58" r:id="rId45" xr:uid="{0E1E9D9B-93A5-43C1-9080-5585353CE38F}"/>
    <hyperlink ref="E59" r:id="rId46" xr:uid="{ADF6F160-82C8-4B0B-BF6D-176AFEBB671C}"/>
    <hyperlink ref="E60" r:id="rId47" xr:uid="{778F5166-F03D-442B-8FA2-A59C47CEB1BF}"/>
    <hyperlink ref="E61" r:id="rId48" xr:uid="{E467E637-5187-40B5-B10F-7F548BE9FA37}"/>
    <hyperlink ref="E62" r:id="rId49" xr:uid="{5398FBF2-60CF-42FB-8FBA-5199796B7E62}"/>
    <hyperlink ref="E100" r:id="rId50" xr:uid="{0D974D39-5EE4-4B16-84A3-8D5EF3B0D78E}"/>
    <hyperlink ref="E103" r:id="rId51" xr:uid="{B2728268-DCB7-4762-B642-AFEA9348601C}"/>
  </hyperlinks>
  <pageMargins left="0.7" right="0.7" top="0.75" bottom="0.75" header="0.3" footer="0.3"/>
  <customProperties>
    <customPr name="_pios_id" r:id="rId52"/>
    <customPr name="EpmWorksheetKeyString_GUID" r:id="rId53"/>
  </customProperties>
  <drawing r:id="rId5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BBF64-8683-495F-83A2-80AC4F047DE7}">
  <dimension ref="A1:AD31"/>
  <sheetViews>
    <sheetView showGridLines="0" zoomScale="70" zoomScaleNormal="70" workbookViewId="0">
      <pane xSplit="1" ySplit="5" topLeftCell="B6" activePane="bottomRight" state="frozen"/>
      <selection pane="topRight" activeCell="B1" sqref="B1"/>
      <selection pane="bottomLeft" activeCell="A5" sqref="A5"/>
      <selection pane="bottomRight" activeCell="A4" sqref="A4"/>
    </sheetView>
  </sheetViews>
  <sheetFormatPr baseColWidth="10" defaultColWidth="11.453125" defaultRowHeight="14.5"/>
  <cols>
    <col min="1" max="1" width="11.453125" style="46"/>
    <col min="2" max="2" width="26.1796875" style="46" customWidth="1"/>
    <col min="3" max="3" width="163.1796875" style="46" customWidth="1"/>
    <col min="4" max="4" width="52.54296875" style="46" customWidth="1"/>
    <col min="5" max="16384" width="11.453125" style="46"/>
  </cols>
  <sheetData>
    <row r="1" spans="1:30">
      <c r="A1" s="2" t="s">
        <v>16</v>
      </c>
    </row>
    <row r="2" spans="1:30">
      <c r="A2" s="2"/>
    </row>
    <row r="3" spans="1:30">
      <c r="A3" s="2"/>
    </row>
    <row r="4" spans="1:30" s="41" customFormat="1" ht="26">
      <c r="A4" s="343" t="s">
        <v>764</v>
      </c>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76"/>
    </row>
    <row r="5" spans="1:30" ht="20">
      <c r="A5" s="220" t="s">
        <v>414</v>
      </c>
      <c r="B5" s="221" t="s">
        <v>744</v>
      </c>
      <c r="C5" s="222" t="s">
        <v>765</v>
      </c>
      <c r="D5" s="222" t="s">
        <v>766</v>
      </c>
      <c r="E5" s="223"/>
      <c r="F5" s="223"/>
      <c r="G5" s="223"/>
      <c r="H5" s="223"/>
      <c r="I5" s="223"/>
      <c r="J5" s="223"/>
      <c r="K5" s="223"/>
      <c r="L5" s="223"/>
      <c r="M5" s="223"/>
      <c r="N5" s="219"/>
      <c r="O5" s="219"/>
      <c r="P5" s="219"/>
      <c r="Q5" s="219"/>
      <c r="R5" s="219"/>
      <c r="S5" s="219"/>
      <c r="T5" s="219"/>
      <c r="U5" s="219"/>
      <c r="V5" s="5"/>
      <c r="W5" s="5"/>
      <c r="X5" s="5"/>
      <c r="Y5" s="5"/>
      <c r="Z5" s="5"/>
      <c r="AA5" s="5"/>
      <c r="AB5" s="5"/>
      <c r="AC5" s="5"/>
      <c r="AD5" s="5"/>
    </row>
    <row r="6" spans="1:30" ht="15.5">
      <c r="A6" s="344" t="s">
        <v>402</v>
      </c>
      <c r="B6" s="143" t="s">
        <v>745</v>
      </c>
      <c r="C6" s="215" t="s">
        <v>746</v>
      </c>
      <c r="D6" s="143" t="s">
        <v>767</v>
      </c>
      <c r="E6" s="5"/>
      <c r="F6" s="5"/>
      <c r="G6" s="5"/>
      <c r="H6" s="143"/>
      <c r="I6" s="143"/>
      <c r="J6" s="143"/>
      <c r="K6" s="143"/>
      <c r="L6" s="143"/>
      <c r="M6" s="143"/>
      <c r="N6" s="143"/>
      <c r="O6" s="143"/>
      <c r="P6" s="5"/>
      <c r="Q6" s="5"/>
      <c r="R6" s="5"/>
      <c r="S6" s="5"/>
      <c r="T6" s="5"/>
      <c r="U6" s="5"/>
      <c r="V6" s="5"/>
      <c r="W6" s="5"/>
      <c r="X6" s="5"/>
      <c r="Y6" s="5"/>
      <c r="Z6" s="5"/>
      <c r="AA6" s="5"/>
      <c r="AB6" s="5"/>
      <c r="AC6" s="5"/>
      <c r="AD6" s="5"/>
    </row>
    <row r="7" spans="1:30" ht="15.5">
      <c r="A7" s="5"/>
      <c r="B7" s="5"/>
      <c r="C7" s="215" t="s">
        <v>747</v>
      </c>
      <c r="D7" s="143" t="s">
        <v>768</v>
      </c>
      <c r="H7" s="5"/>
      <c r="I7" s="5"/>
      <c r="J7" s="5"/>
      <c r="K7" s="5"/>
      <c r="L7" s="5"/>
      <c r="M7" s="5"/>
      <c r="N7" s="5"/>
      <c r="O7" s="5"/>
      <c r="P7" s="5"/>
      <c r="Q7" s="5"/>
      <c r="R7" s="5"/>
      <c r="S7" s="5"/>
      <c r="T7" s="5"/>
      <c r="U7" s="5"/>
      <c r="V7" s="5"/>
      <c r="W7" s="5"/>
      <c r="X7" s="5"/>
      <c r="Y7" s="5"/>
      <c r="Z7" s="5"/>
      <c r="AA7" s="5"/>
      <c r="AB7" s="5"/>
      <c r="AC7" s="5"/>
      <c r="AD7" s="5"/>
    </row>
    <row r="8" spans="1:30" ht="15.5">
      <c r="A8" s="5"/>
      <c r="B8" s="5"/>
      <c r="C8" s="215"/>
      <c r="D8" s="143"/>
      <c r="H8" s="5"/>
      <c r="I8" s="5"/>
      <c r="J8" s="5"/>
      <c r="K8" s="5"/>
      <c r="L8" s="5"/>
      <c r="M8" s="5"/>
      <c r="N8" s="5"/>
      <c r="O8" s="5"/>
      <c r="P8" s="5"/>
      <c r="Q8" s="5"/>
      <c r="R8" s="5"/>
      <c r="S8" s="5"/>
      <c r="T8" s="5"/>
      <c r="U8" s="5"/>
      <c r="V8" s="5"/>
      <c r="W8" s="5"/>
      <c r="X8" s="5"/>
      <c r="Y8" s="5"/>
      <c r="Z8" s="5"/>
      <c r="AA8" s="5"/>
      <c r="AB8" s="5"/>
      <c r="AC8" s="5"/>
      <c r="AD8" s="5"/>
    </row>
    <row r="9" spans="1:30" ht="15.5">
      <c r="A9" s="344" t="s">
        <v>412</v>
      </c>
      <c r="B9" s="143" t="s">
        <v>748</v>
      </c>
      <c r="C9" s="215" t="s">
        <v>749</v>
      </c>
      <c r="D9" s="143" t="s">
        <v>769</v>
      </c>
      <c r="G9" s="5"/>
      <c r="H9" s="143"/>
      <c r="I9" s="143"/>
      <c r="J9" s="143"/>
      <c r="K9" s="143"/>
      <c r="L9" s="143"/>
      <c r="M9" s="143"/>
      <c r="N9" s="143"/>
      <c r="O9" s="143"/>
      <c r="P9" s="5"/>
      <c r="Q9" s="5"/>
      <c r="R9" s="5"/>
      <c r="S9" s="5"/>
      <c r="T9" s="5"/>
      <c r="U9" s="5"/>
      <c r="V9" s="5"/>
      <c r="W9" s="5"/>
      <c r="X9" s="5"/>
      <c r="Y9" s="5"/>
      <c r="Z9" s="5"/>
      <c r="AA9" s="5"/>
      <c r="AB9" s="5"/>
      <c r="AC9" s="5"/>
      <c r="AD9" s="5"/>
    </row>
    <row r="10" spans="1:30" ht="15.5">
      <c r="A10" s="344"/>
      <c r="B10" s="5"/>
      <c r="C10" s="215" t="s">
        <v>750</v>
      </c>
      <c r="D10" s="143" t="s">
        <v>770</v>
      </c>
      <c r="G10" s="5"/>
      <c r="H10" s="143"/>
      <c r="I10" s="143"/>
      <c r="J10" s="143"/>
      <c r="K10" s="143"/>
      <c r="L10" s="143"/>
      <c r="M10" s="143"/>
      <c r="N10" s="143"/>
      <c r="O10" s="143"/>
      <c r="P10" s="5"/>
      <c r="Q10" s="5"/>
      <c r="R10" s="5"/>
      <c r="S10" s="5"/>
      <c r="T10" s="5"/>
      <c r="U10" s="5"/>
      <c r="V10" s="5"/>
      <c r="W10" s="5"/>
      <c r="X10" s="5"/>
      <c r="Y10" s="5"/>
      <c r="Z10" s="5"/>
      <c r="AA10" s="5"/>
      <c r="AB10" s="5"/>
      <c r="AC10" s="5"/>
      <c r="AD10" s="5"/>
    </row>
    <row r="11" spans="1:30" ht="15.5">
      <c r="A11" s="344"/>
      <c r="B11" s="5"/>
      <c r="C11" s="215"/>
      <c r="D11" s="143"/>
      <c r="G11" s="5"/>
      <c r="H11" s="143"/>
      <c r="I11" s="143"/>
      <c r="J11" s="143"/>
      <c r="K11" s="143"/>
      <c r="L11" s="143"/>
      <c r="M11" s="143"/>
      <c r="N11" s="143"/>
      <c r="O11" s="143"/>
      <c r="P11" s="5"/>
      <c r="Q11" s="5"/>
      <c r="R11" s="5"/>
      <c r="S11" s="5"/>
      <c r="T11" s="5"/>
      <c r="U11" s="5"/>
      <c r="V11" s="5"/>
      <c r="W11" s="5"/>
      <c r="X11" s="5"/>
      <c r="Y11" s="5"/>
      <c r="Z11" s="5"/>
      <c r="AA11" s="5"/>
      <c r="AB11" s="5"/>
      <c r="AC11" s="5"/>
      <c r="AD11" s="5"/>
    </row>
    <row r="12" spans="1:30" ht="15.5">
      <c r="A12" s="344"/>
      <c r="B12" s="143" t="s">
        <v>751</v>
      </c>
      <c r="C12" s="215" t="s">
        <v>752</v>
      </c>
      <c r="D12" s="143" t="s">
        <v>769</v>
      </c>
      <c r="G12" s="5"/>
      <c r="H12" s="143"/>
      <c r="I12" s="143"/>
      <c r="J12" s="143"/>
      <c r="K12" s="143"/>
      <c r="L12" s="143"/>
      <c r="M12" s="143"/>
      <c r="N12" s="143"/>
      <c r="O12" s="143"/>
      <c r="P12" s="5"/>
      <c r="Q12" s="5"/>
      <c r="R12" s="5"/>
      <c r="S12" s="5"/>
      <c r="T12" s="5"/>
      <c r="U12" s="5"/>
      <c r="V12" s="5"/>
      <c r="W12" s="5"/>
      <c r="X12" s="5"/>
      <c r="Y12" s="5"/>
      <c r="Z12" s="5"/>
      <c r="AA12" s="5"/>
      <c r="AB12" s="5"/>
      <c r="AC12" s="5"/>
      <c r="AD12" s="5"/>
    </row>
    <row r="13" spans="1:30" ht="15.5">
      <c r="A13" s="344"/>
      <c r="B13" s="5"/>
      <c r="C13" s="215" t="s">
        <v>753</v>
      </c>
      <c r="D13" s="143" t="s">
        <v>770</v>
      </c>
      <c r="G13" s="5"/>
      <c r="H13" s="143"/>
      <c r="I13" s="143"/>
      <c r="J13" s="143"/>
      <c r="K13" s="143"/>
      <c r="L13" s="143"/>
      <c r="M13" s="143"/>
      <c r="N13" s="143"/>
      <c r="O13" s="143"/>
      <c r="P13" s="5"/>
      <c r="Q13" s="5"/>
      <c r="R13" s="5"/>
      <c r="S13" s="5"/>
      <c r="T13" s="5"/>
      <c r="U13" s="5"/>
      <c r="V13" s="5"/>
      <c r="W13" s="5"/>
      <c r="X13" s="5"/>
      <c r="Y13" s="5"/>
      <c r="Z13" s="5"/>
      <c r="AA13" s="5"/>
      <c r="AB13" s="5"/>
      <c r="AC13" s="5"/>
      <c r="AD13" s="5"/>
    </row>
    <row r="14" spans="1:30" ht="15.5">
      <c r="A14" s="344"/>
      <c r="B14" s="5"/>
      <c r="C14" s="215"/>
      <c r="D14" s="143"/>
      <c r="G14" s="5"/>
      <c r="H14" s="143"/>
      <c r="I14" s="143"/>
      <c r="J14" s="143"/>
      <c r="K14" s="143"/>
      <c r="L14" s="143"/>
      <c r="M14" s="143"/>
      <c r="N14" s="143"/>
      <c r="O14" s="143"/>
      <c r="P14" s="5"/>
      <c r="Q14" s="5"/>
      <c r="R14" s="5"/>
      <c r="S14" s="5"/>
      <c r="T14" s="5"/>
      <c r="U14" s="5"/>
      <c r="V14" s="5"/>
      <c r="W14" s="5"/>
      <c r="X14" s="5"/>
      <c r="Y14" s="5"/>
      <c r="Z14" s="5"/>
      <c r="AA14" s="5"/>
      <c r="AB14" s="5"/>
      <c r="AC14" s="5"/>
      <c r="AD14" s="5"/>
    </row>
    <row r="15" spans="1:30" ht="15.5">
      <c r="A15" s="344"/>
      <c r="B15" s="143" t="s">
        <v>754</v>
      </c>
      <c r="C15" s="215" t="s">
        <v>755</v>
      </c>
      <c r="D15" s="143" t="s">
        <v>769</v>
      </c>
      <c r="G15" s="5"/>
      <c r="H15" s="143"/>
      <c r="I15" s="143"/>
      <c r="J15" s="143"/>
      <c r="K15" s="143"/>
      <c r="L15" s="143"/>
      <c r="M15" s="143"/>
      <c r="N15" s="143"/>
      <c r="O15" s="143"/>
      <c r="P15" s="5"/>
      <c r="Q15" s="5"/>
      <c r="R15" s="5"/>
      <c r="S15" s="5"/>
      <c r="T15" s="5"/>
      <c r="U15" s="5"/>
      <c r="V15" s="5"/>
      <c r="W15" s="5"/>
      <c r="X15" s="5"/>
      <c r="Y15" s="5"/>
      <c r="Z15" s="5"/>
      <c r="AA15" s="5"/>
      <c r="AB15" s="5"/>
      <c r="AC15" s="5"/>
      <c r="AD15" s="5"/>
    </row>
    <row r="16" spans="1:30" ht="15.5">
      <c r="A16" s="344"/>
      <c r="B16" s="5"/>
      <c r="C16" s="215" t="s">
        <v>756</v>
      </c>
      <c r="D16" s="143" t="s">
        <v>770</v>
      </c>
      <c r="G16" s="5"/>
      <c r="H16" s="143"/>
      <c r="I16" s="143"/>
      <c r="J16" s="143"/>
      <c r="K16" s="143"/>
      <c r="L16" s="143"/>
      <c r="M16" s="143"/>
      <c r="N16" s="143"/>
      <c r="O16" s="143"/>
      <c r="P16" s="5"/>
      <c r="Q16" s="5"/>
      <c r="R16" s="5"/>
      <c r="S16" s="5"/>
      <c r="T16" s="5"/>
      <c r="U16" s="5"/>
      <c r="V16" s="5"/>
      <c r="W16" s="5"/>
      <c r="X16" s="5"/>
      <c r="Y16" s="5"/>
      <c r="Z16" s="5"/>
      <c r="AA16" s="5"/>
      <c r="AB16" s="5"/>
      <c r="AC16" s="5"/>
      <c r="AD16" s="5"/>
    </row>
    <row r="17" spans="1:30" ht="15.5">
      <c r="A17" s="344"/>
      <c r="B17" s="5"/>
      <c r="C17" s="215"/>
      <c r="D17" s="143"/>
      <c r="G17" s="5"/>
      <c r="H17" s="143"/>
      <c r="I17" s="143"/>
      <c r="J17" s="143"/>
      <c r="K17" s="143"/>
      <c r="L17" s="143"/>
      <c r="M17" s="143"/>
      <c r="N17" s="143"/>
      <c r="O17" s="143"/>
      <c r="P17" s="5"/>
      <c r="Q17" s="5"/>
      <c r="R17" s="5"/>
      <c r="S17" s="5"/>
      <c r="T17" s="5"/>
      <c r="U17" s="5"/>
      <c r="V17" s="5"/>
      <c r="W17" s="5"/>
      <c r="X17" s="5"/>
      <c r="Y17" s="5"/>
      <c r="Z17" s="5"/>
      <c r="AA17" s="5"/>
      <c r="AB17" s="5"/>
      <c r="AC17" s="5"/>
      <c r="AD17" s="5"/>
    </row>
    <row r="18" spans="1:30" ht="15.5">
      <c r="A18" s="344"/>
      <c r="B18" s="143" t="s">
        <v>757</v>
      </c>
      <c r="C18" s="215" t="s">
        <v>758</v>
      </c>
      <c r="D18" s="143" t="s">
        <v>769</v>
      </c>
      <c r="G18" s="5"/>
      <c r="H18" s="143"/>
      <c r="I18" s="143"/>
      <c r="J18" s="143"/>
      <c r="K18" s="143"/>
      <c r="L18" s="143"/>
      <c r="M18" s="143"/>
      <c r="N18" s="143"/>
      <c r="O18" s="143"/>
      <c r="P18" s="5"/>
      <c r="Q18" s="5"/>
      <c r="R18" s="5"/>
      <c r="S18" s="5"/>
      <c r="T18" s="5"/>
      <c r="U18" s="5"/>
      <c r="V18" s="5"/>
      <c r="W18" s="5"/>
      <c r="X18" s="5"/>
      <c r="Y18" s="5"/>
      <c r="Z18" s="5"/>
      <c r="AA18" s="5"/>
      <c r="AB18" s="5"/>
      <c r="AC18" s="5"/>
      <c r="AD18" s="5"/>
    </row>
    <row r="19" spans="1:30" ht="15.5">
      <c r="A19" s="344"/>
      <c r="B19" s="5"/>
      <c r="C19" s="215" t="s">
        <v>759</v>
      </c>
      <c r="D19" s="143" t="s">
        <v>770</v>
      </c>
      <c r="G19" s="5"/>
      <c r="H19" s="143"/>
      <c r="I19" s="143"/>
      <c r="J19" s="143"/>
      <c r="K19" s="143"/>
      <c r="L19" s="143"/>
      <c r="M19" s="143"/>
      <c r="N19" s="143"/>
      <c r="O19" s="143"/>
      <c r="P19" s="5"/>
      <c r="Q19" s="5"/>
      <c r="R19" s="5"/>
      <c r="S19" s="5"/>
      <c r="T19" s="5"/>
      <c r="U19" s="5"/>
      <c r="V19" s="5"/>
      <c r="W19" s="5"/>
      <c r="X19" s="5"/>
      <c r="Y19" s="5"/>
      <c r="Z19" s="5"/>
      <c r="AA19" s="5"/>
      <c r="AB19" s="5"/>
      <c r="AC19" s="5"/>
      <c r="AD19" s="5"/>
    </row>
    <row r="20" spans="1:30" ht="15.5">
      <c r="A20" s="344"/>
      <c r="B20" s="5"/>
      <c r="C20" s="215"/>
      <c r="D20" s="143"/>
      <c r="G20" s="5"/>
      <c r="H20" s="143"/>
      <c r="I20" s="143"/>
      <c r="J20" s="143"/>
      <c r="K20" s="143"/>
      <c r="L20" s="143"/>
      <c r="M20" s="143"/>
      <c r="N20" s="143"/>
      <c r="O20" s="143"/>
      <c r="P20" s="5"/>
      <c r="Q20" s="5"/>
      <c r="R20" s="5"/>
      <c r="S20" s="5"/>
      <c r="T20" s="5"/>
      <c r="U20" s="5"/>
      <c r="V20" s="5"/>
      <c r="W20" s="5"/>
      <c r="X20" s="5"/>
      <c r="Y20" s="5"/>
      <c r="Z20" s="5"/>
      <c r="AA20" s="5"/>
      <c r="AB20" s="5"/>
      <c r="AC20" s="5"/>
      <c r="AD20" s="5"/>
    </row>
    <row r="21" spans="1:30" ht="15.5">
      <c r="A21" s="344"/>
      <c r="B21" s="143" t="s">
        <v>760</v>
      </c>
      <c r="C21" s="215" t="s">
        <v>761</v>
      </c>
      <c r="D21" s="143" t="s">
        <v>769</v>
      </c>
      <c r="G21" s="5"/>
      <c r="H21" s="143"/>
      <c r="I21" s="143"/>
      <c r="J21" s="143"/>
      <c r="K21" s="143"/>
      <c r="L21" s="143"/>
      <c r="M21" s="143"/>
      <c r="N21" s="143"/>
      <c r="O21" s="143"/>
      <c r="P21" s="5"/>
      <c r="Q21" s="5"/>
      <c r="R21" s="5"/>
      <c r="S21" s="5"/>
      <c r="T21" s="5"/>
      <c r="U21" s="5"/>
      <c r="V21" s="5"/>
      <c r="W21" s="5"/>
      <c r="X21" s="5"/>
      <c r="Y21" s="5"/>
      <c r="Z21" s="5"/>
      <c r="AA21" s="5"/>
      <c r="AB21" s="5"/>
      <c r="AC21" s="5"/>
      <c r="AD21" s="5"/>
    </row>
    <row r="22" spans="1:30" ht="15.5">
      <c r="A22" s="344"/>
      <c r="B22" s="5"/>
      <c r="C22" s="215" t="s">
        <v>762</v>
      </c>
      <c r="D22" s="143" t="s">
        <v>770</v>
      </c>
      <c r="E22" s="5"/>
      <c r="F22" s="5"/>
      <c r="G22" s="5"/>
      <c r="H22" s="143"/>
      <c r="I22" s="143"/>
      <c r="J22" s="143"/>
      <c r="K22" s="143"/>
      <c r="L22" s="143"/>
      <c r="M22" s="143"/>
      <c r="N22" s="143"/>
      <c r="O22" s="143"/>
      <c r="P22" s="5"/>
      <c r="Q22" s="5"/>
      <c r="R22" s="5"/>
      <c r="S22" s="5"/>
      <c r="T22" s="5"/>
      <c r="U22" s="5"/>
      <c r="V22" s="5"/>
      <c r="W22" s="5"/>
      <c r="X22" s="5"/>
      <c r="Y22" s="5"/>
      <c r="Z22" s="5"/>
      <c r="AA22" s="5"/>
      <c r="AB22" s="5"/>
      <c r="AC22" s="5"/>
      <c r="AD22" s="5"/>
    </row>
    <row r="23" spans="1:30" ht="15.5">
      <c r="A23" s="344"/>
      <c r="B23" s="5"/>
      <c r="C23" s="215"/>
      <c r="D23" s="143"/>
      <c r="E23" s="5"/>
      <c r="F23" s="5"/>
      <c r="G23" s="5"/>
      <c r="H23" s="143"/>
      <c r="I23" s="143"/>
      <c r="J23" s="143"/>
      <c r="K23" s="143"/>
      <c r="L23" s="143"/>
      <c r="M23" s="143"/>
      <c r="N23" s="143"/>
      <c r="O23" s="143"/>
      <c r="P23" s="5"/>
      <c r="Q23" s="5"/>
      <c r="R23" s="5"/>
      <c r="S23" s="5"/>
      <c r="T23" s="5"/>
      <c r="U23" s="5"/>
      <c r="V23" s="5"/>
      <c r="W23" s="5"/>
      <c r="X23" s="5"/>
      <c r="Y23" s="5"/>
      <c r="Z23" s="5"/>
      <c r="AA23" s="5"/>
      <c r="AB23" s="5"/>
      <c r="AC23" s="5"/>
      <c r="AD23" s="5"/>
    </row>
    <row r="24" spans="1:30" ht="15.5">
      <c r="A24" s="344" t="s">
        <v>412</v>
      </c>
      <c r="B24" s="143" t="s">
        <v>772</v>
      </c>
      <c r="C24" s="215" t="s">
        <v>763</v>
      </c>
      <c r="D24" s="143" t="s">
        <v>771</v>
      </c>
      <c r="E24" s="5"/>
      <c r="F24" s="5"/>
      <c r="G24" s="5"/>
      <c r="H24" s="143"/>
      <c r="I24" s="143"/>
      <c r="J24" s="143"/>
      <c r="K24" s="143"/>
      <c r="L24" s="143"/>
      <c r="M24" s="143"/>
      <c r="N24" s="143"/>
      <c r="O24" s="143"/>
      <c r="P24" s="5"/>
      <c r="Q24" s="5"/>
      <c r="R24" s="5"/>
      <c r="S24" s="5"/>
      <c r="T24" s="5"/>
      <c r="U24" s="5"/>
      <c r="V24" s="5"/>
      <c r="W24" s="5"/>
      <c r="X24" s="5"/>
      <c r="Y24" s="5"/>
      <c r="Z24" s="5"/>
      <c r="AA24" s="5"/>
      <c r="AB24" s="5"/>
      <c r="AC24" s="5"/>
      <c r="AD24" s="5"/>
    </row>
    <row r="25" spans="1:30" ht="15.5">
      <c r="A25" s="344"/>
      <c r="B25" s="143"/>
      <c r="C25" s="215"/>
      <c r="D25" s="143"/>
      <c r="E25" s="5"/>
      <c r="F25" s="5"/>
      <c r="G25" s="5"/>
      <c r="H25" s="143"/>
      <c r="I25" s="143"/>
      <c r="J25" s="143"/>
      <c r="K25" s="143"/>
      <c r="L25" s="143"/>
      <c r="M25" s="143"/>
      <c r="N25" s="143"/>
      <c r="O25" s="143"/>
      <c r="P25" s="5"/>
      <c r="Q25" s="5"/>
      <c r="R25" s="5"/>
      <c r="S25" s="5"/>
      <c r="T25" s="5"/>
      <c r="U25" s="5"/>
      <c r="V25" s="5"/>
      <c r="W25" s="5"/>
      <c r="X25" s="5"/>
      <c r="Y25" s="5"/>
      <c r="Z25" s="5"/>
      <c r="AA25" s="5"/>
      <c r="AB25" s="5"/>
      <c r="AC25" s="5"/>
      <c r="AD25" s="5"/>
    </row>
    <row r="26" spans="1:30" ht="15.5">
      <c r="A26" s="344"/>
      <c r="B26" s="143"/>
      <c r="C26" s="215"/>
      <c r="D26" s="5"/>
      <c r="E26" s="5"/>
      <c r="F26" s="5"/>
      <c r="G26" s="5"/>
      <c r="H26" s="143"/>
      <c r="I26" s="143"/>
      <c r="J26" s="143"/>
      <c r="K26" s="143"/>
      <c r="L26" s="143"/>
      <c r="M26" s="143"/>
      <c r="N26" s="143"/>
      <c r="O26" s="143"/>
      <c r="P26" s="5"/>
      <c r="Q26" s="5"/>
      <c r="R26" s="5"/>
      <c r="S26" s="5"/>
      <c r="T26" s="5"/>
      <c r="U26" s="5"/>
      <c r="V26" s="5"/>
      <c r="W26" s="5"/>
      <c r="X26" s="5"/>
      <c r="Y26" s="5"/>
      <c r="Z26" s="5"/>
      <c r="AA26" s="5"/>
      <c r="AB26" s="5"/>
      <c r="AC26" s="5"/>
      <c r="AD26" s="5"/>
    </row>
    <row r="27" spans="1:30" ht="15.5">
      <c r="A27" s="344"/>
      <c r="B27" s="143"/>
      <c r="C27" s="215"/>
      <c r="D27" s="5"/>
      <c r="E27" s="5"/>
      <c r="F27" s="5"/>
      <c r="G27" s="5"/>
      <c r="H27" s="143"/>
      <c r="I27" s="143"/>
      <c r="J27" s="143"/>
      <c r="K27" s="143"/>
      <c r="L27" s="143"/>
      <c r="M27" s="143"/>
      <c r="N27" s="143"/>
      <c r="O27" s="143"/>
      <c r="P27" s="5"/>
      <c r="Q27" s="5"/>
      <c r="R27" s="5"/>
      <c r="S27" s="5"/>
      <c r="T27" s="5"/>
      <c r="U27" s="5"/>
      <c r="V27" s="5"/>
      <c r="W27" s="5"/>
      <c r="X27" s="5"/>
      <c r="Y27" s="5"/>
      <c r="Z27" s="5"/>
      <c r="AA27" s="5"/>
      <c r="AB27" s="5"/>
      <c r="AC27" s="5"/>
      <c r="AD27" s="5"/>
    </row>
    <row r="28" spans="1:30" ht="15.5">
      <c r="A28" s="344"/>
      <c r="B28" s="143"/>
      <c r="C28" s="215"/>
      <c r="D28" s="5"/>
      <c r="E28" s="5"/>
      <c r="F28" s="5"/>
      <c r="G28" s="5"/>
      <c r="H28" s="143"/>
      <c r="I28" s="143"/>
      <c r="J28" s="143"/>
      <c r="K28" s="143"/>
      <c r="L28" s="143"/>
      <c r="M28" s="143"/>
      <c r="N28" s="143"/>
      <c r="O28" s="143"/>
      <c r="P28" s="5"/>
      <c r="Q28" s="5"/>
      <c r="R28" s="5"/>
      <c r="S28" s="5"/>
      <c r="T28" s="5"/>
      <c r="U28" s="5"/>
      <c r="V28" s="5"/>
      <c r="W28" s="5"/>
      <c r="X28" s="5"/>
      <c r="Y28" s="5"/>
      <c r="Z28" s="5"/>
      <c r="AA28" s="5"/>
      <c r="AB28" s="5"/>
      <c r="AC28" s="5"/>
      <c r="AD28" s="5"/>
    </row>
    <row r="29" spans="1:30" ht="15.5">
      <c r="A29" s="344"/>
      <c r="B29" s="143"/>
      <c r="C29" s="215"/>
      <c r="D29" s="5"/>
      <c r="E29" s="5"/>
      <c r="F29" s="5"/>
      <c r="G29" s="5"/>
      <c r="H29" s="143"/>
      <c r="I29" s="143"/>
      <c r="J29" s="143"/>
      <c r="K29" s="143"/>
      <c r="L29" s="143"/>
      <c r="M29" s="143"/>
      <c r="N29" s="143"/>
      <c r="O29" s="143"/>
      <c r="P29" s="5"/>
      <c r="Q29" s="5"/>
      <c r="R29" s="5"/>
      <c r="S29" s="5"/>
      <c r="T29" s="5"/>
      <c r="U29" s="5"/>
      <c r="V29" s="5"/>
      <c r="W29" s="5"/>
      <c r="X29" s="5"/>
      <c r="Y29" s="5"/>
      <c r="Z29" s="5"/>
      <c r="AA29" s="5"/>
      <c r="AB29" s="5"/>
      <c r="AC29" s="5"/>
      <c r="AD29" s="5"/>
    </row>
    <row r="30" spans="1:30" ht="15.5">
      <c r="A30" s="344"/>
      <c r="B30" s="143"/>
      <c r="C30" s="215"/>
      <c r="D30" s="5"/>
      <c r="E30" s="5"/>
      <c r="F30" s="5"/>
      <c r="G30" s="5"/>
      <c r="H30" s="143"/>
      <c r="I30" s="143"/>
      <c r="J30" s="143"/>
      <c r="K30" s="143"/>
      <c r="L30" s="143"/>
      <c r="M30" s="143"/>
      <c r="N30" s="143"/>
      <c r="O30" s="143"/>
      <c r="P30" s="5"/>
      <c r="Q30" s="5"/>
      <c r="R30" s="5"/>
      <c r="S30" s="5"/>
      <c r="T30" s="5"/>
      <c r="U30" s="5"/>
      <c r="V30" s="5"/>
      <c r="W30" s="5"/>
      <c r="X30" s="5"/>
      <c r="Y30" s="5"/>
      <c r="Z30" s="5"/>
      <c r="AA30" s="5"/>
      <c r="AB30" s="5"/>
      <c r="AC30" s="5"/>
      <c r="AD30" s="5"/>
    </row>
    <row r="31" spans="1:30" ht="15.5">
      <c r="A31" s="344"/>
      <c r="B31" s="143"/>
      <c r="C31" s="215"/>
      <c r="D31" s="5"/>
      <c r="E31" s="5"/>
      <c r="F31" s="5"/>
      <c r="G31" s="5"/>
      <c r="H31" s="143"/>
      <c r="I31" s="143"/>
      <c r="J31" s="143"/>
      <c r="K31" s="143"/>
      <c r="L31" s="143"/>
      <c r="M31" s="143"/>
      <c r="N31" s="143"/>
      <c r="O31" s="143"/>
      <c r="P31" s="5"/>
      <c r="Q31" s="5"/>
      <c r="R31" s="5"/>
      <c r="S31" s="5"/>
      <c r="T31" s="5"/>
      <c r="U31" s="5"/>
      <c r="V31" s="5"/>
      <c r="W31" s="5"/>
      <c r="X31" s="5"/>
      <c r="Y31" s="5"/>
      <c r="Z31" s="5"/>
      <c r="AA31" s="5"/>
      <c r="AB31" s="5"/>
      <c r="AC31" s="5"/>
      <c r="AD31" s="5"/>
    </row>
  </sheetData>
  <hyperlinks>
    <hyperlink ref="C6" r:id="rId1" xr:uid="{CC68A74D-0915-4C97-8CEA-D46329668CBD}"/>
    <hyperlink ref="C7" r:id="rId2" xr:uid="{52739721-1E1B-4D2A-9EDF-770D3899EB8B}"/>
    <hyperlink ref="C9" r:id="rId3" display="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xr:uid="{EAA18BDF-E08D-4679-B424-0D3E74C5CCC2}"/>
    <hyperlink ref="C12" r:id="rId4" display="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xr:uid="{388D051E-E129-461A-8704-18EFD20BCC86}"/>
    <hyperlink ref="C15" r:id="rId5" display="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xr:uid="{F42102B3-E40A-4733-853D-C33633D343A8}"/>
    <hyperlink ref="C18" r:id="rId6" display="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xr:uid="{2621C4D8-9506-496D-B0A8-009C39B8CE47}"/>
    <hyperlink ref="C21" r:id="rId7" display="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xr:uid="{A7397B3F-0046-4F2D-BEF7-75EFCE0EFDEF}"/>
    <hyperlink ref="C24" r:id="rId8" display="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xr:uid="{79AA2F9A-2EFF-4E4C-ADCB-EA5744F1DC6E}"/>
    <hyperlink ref="C10" r:id="rId9" display="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xr:uid="{9B833F88-3C36-4039-88E8-C025D16FC8A4}"/>
    <hyperlink ref="C13" r:id="rId10" display="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xr:uid="{074CFA61-5304-461F-A227-F676BCFE74D3}"/>
    <hyperlink ref="C16" r:id="rId11" display="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xr:uid="{525E8136-3FF9-4991-A3BF-1735081B3ADA}"/>
    <hyperlink ref="C22" r:id="rId12" display="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xr:uid="{5E250B3E-ABEC-4041-86D0-4F7FB48595FD}"/>
    <hyperlink ref="C19" r:id="rId13" display="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xr:uid="{916B5F4B-2B99-4E4F-82E1-89693FB0F599}"/>
    <hyperlink ref="A1" location="Contenido!A1" display="Volver al Contenido" xr:uid="{450FFBDE-CB49-4074-B0D2-F948C86E98BA}"/>
  </hyperlinks>
  <pageMargins left="0.7" right="0.7" top="0.75" bottom="0.75" header="0.3" footer="0.3"/>
  <pageSetup orientation="portrait" r:id="rId14"/>
  <drawing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AFA9-687D-40B9-A13C-D780A5B4A1CA}">
  <dimension ref="A1:K36"/>
  <sheetViews>
    <sheetView showGridLines="0" topLeftCell="A19" zoomScale="90" zoomScaleNormal="90" workbookViewId="0"/>
  </sheetViews>
  <sheetFormatPr baseColWidth="10" defaultRowHeight="14.5"/>
  <cols>
    <col min="2" max="2" width="35.1796875" customWidth="1"/>
    <col min="3" max="9" width="12.54296875" bestFit="1" customWidth="1"/>
    <col min="10" max="10" width="12.81640625" bestFit="1" customWidth="1"/>
    <col min="11" max="11" width="13.90625" customWidth="1"/>
  </cols>
  <sheetData>
    <row r="1" spans="1:11">
      <c r="A1" s="2" t="s">
        <v>16</v>
      </c>
    </row>
    <row r="4" spans="1:11" ht="15.5">
      <c r="B4" s="591"/>
      <c r="C4" s="592">
        <v>2015</v>
      </c>
      <c r="D4" s="592">
        <v>2016</v>
      </c>
      <c r="E4" s="592">
        <v>2017</v>
      </c>
      <c r="F4" s="592">
        <v>2018</v>
      </c>
      <c r="G4" s="592">
        <v>2019</v>
      </c>
      <c r="H4" s="592">
        <v>2020</v>
      </c>
      <c r="I4" s="592">
        <v>2021</v>
      </c>
      <c r="J4" s="592" t="s">
        <v>1102</v>
      </c>
      <c r="K4" s="592" t="s">
        <v>1232</v>
      </c>
    </row>
    <row r="5" spans="1:11" ht="15.5">
      <c r="B5" s="596" t="s">
        <v>1043</v>
      </c>
      <c r="C5" s="597">
        <f t="shared" ref="C5:E5" si="0">+SUM(C6:C7)</f>
        <v>234396.98560273973</v>
      </c>
      <c r="D5" s="597">
        <f t="shared" si="0"/>
        <v>252622.42054644809</v>
      </c>
      <c r="E5" s="597">
        <f t="shared" si="0"/>
        <v>262573.63263013703</v>
      </c>
      <c r="F5" s="597">
        <f>+SUM(F6:F7)</f>
        <v>275394.68554794521</v>
      </c>
      <c r="G5" s="597">
        <f t="shared" ref="G5:H5" si="1">+SUM(G6:G7)</f>
        <v>281299.10349315067</v>
      </c>
      <c r="H5" s="597">
        <f t="shared" si="1"/>
        <v>240459.20234972681</v>
      </c>
      <c r="I5" s="597">
        <v>310801</v>
      </c>
      <c r="J5" s="597">
        <v>398711</v>
      </c>
      <c r="K5" s="597">
        <v>352715</v>
      </c>
    </row>
    <row r="6" spans="1:11" ht="15">
      <c r="B6" s="593" t="s">
        <v>1037</v>
      </c>
      <c r="C6" s="613">
        <f>+C10+C14+C18+C22</f>
        <v>206428.10854794522</v>
      </c>
      <c r="D6" s="613">
        <f t="shared" ref="D6:H7" si="2">+D10+D14+D18+D22</f>
        <v>223238.48035519125</v>
      </c>
      <c r="E6" s="613">
        <f t="shared" si="2"/>
        <v>231641.57942465757</v>
      </c>
      <c r="F6" s="613">
        <f t="shared" si="2"/>
        <v>242803.26939726027</v>
      </c>
      <c r="G6" s="613">
        <f t="shared" si="2"/>
        <v>248369.98887671233</v>
      </c>
      <c r="H6" s="613">
        <f t="shared" si="2"/>
        <v>211302.40931693991</v>
      </c>
      <c r="I6" s="613">
        <v>272556</v>
      </c>
      <c r="J6" s="613">
        <v>357121</v>
      </c>
      <c r="K6" s="613">
        <v>312720</v>
      </c>
    </row>
    <row r="7" spans="1:11" ht="15">
      <c r="B7" s="593" t="s">
        <v>1038</v>
      </c>
      <c r="C7" s="613">
        <f>+C11+C15+C19+C23</f>
        <v>27968.877054794517</v>
      </c>
      <c r="D7" s="613">
        <f t="shared" si="2"/>
        <v>29383.940191256832</v>
      </c>
      <c r="E7" s="613">
        <f t="shared" si="2"/>
        <v>30932.053205479453</v>
      </c>
      <c r="F7" s="613">
        <f t="shared" si="2"/>
        <v>32591.41615068493</v>
      </c>
      <c r="G7" s="613">
        <f t="shared" si="2"/>
        <v>32929.114616438361</v>
      </c>
      <c r="H7" s="613">
        <f t="shared" si="2"/>
        <v>29156.793032786885</v>
      </c>
      <c r="I7" s="613">
        <v>38245</v>
      </c>
      <c r="J7" s="613">
        <v>41590</v>
      </c>
      <c r="K7" s="613">
        <v>39995</v>
      </c>
    </row>
    <row r="8" spans="1:11" ht="15.5">
      <c r="B8" s="594"/>
      <c r="C8" s="614"/>
      <c r="D8" s="614"/>
      <c r="E8" s="614"/>
      <c r="F8" s="614"/>
      <c r="G8" s="614"/>
      <c r="H8" s="614"/>
      <c r="I8" s="614"/>
      <c r="J8" s="614"/>
      <c r="K8" s="614"/>
    </row>
    <row r="9" spans="1:11" ht="15.5">
      <c r="B9" s="596" t="s">
        <v>1039</v>
      </c>
      <c r="C9" s="597">
        <f t="shared" ref="C9:E9" si="3">+SUM(C10:C11)</f>
        <v>122013.20498630138</v>
      </c>
      <c r="D9" s="597">
        <f t="shared" si="3"/>
        <v>131533.0232103825</v>
      </c>
      <c r="E9" s="597">
        <f t="shared" si="3"/>
        <v>137368.15160273973</v>
      </c>
      <c r="F9" s="597">
        <f>+SUM(F10:F11)</f>
        <v>143995.73883561644</v>
      </c>
      <c r="G9" s="597">
        <f t="shared" ref="G9:H9" si="4">+SUM(G10:G11)</f>
        <v>145446.13575342466</v>
      </c>
      <c r="H9" s="597">
        <f t="shared" si="4"/>
        <v>119753.49640710381</v>
      </c>
      <c r="I9" s="597">
        <v>156691</v>
      </c>
      <c r="J9" s="597">
        <v>191362</v>
      </c>
      <c r="K9" s="597">
        <v>176597</v>
      </c>
    </row>
    <row r="10" spans="1:11" ht="15.5">
      <c r="B10" s="593" t="s">
        <v>1037</v>
      </c>
      <c r="C10" s="613">
        <v>103539.77347945207</v>
      </c>
      <c r="D10" s="613">
        <v>112231.77598360655</v>
      </c>
      <c r="E10" s="613">
        <v>117122.59750684933</v>
      </c>
      <c r="F10" s="613">
        <v>122543.36391780822</v>
      </c>
      <c r="G10" s="613">
        <v>124200.02038356164</v>
      </c>
      <c r="H10" s="613">
        <v>101056.61423497266</v>
      </c>
      <c r="I10" s="615">
        <v>132319</v>
      </c>
      <c r="J10" s="615">
        <v>165447</v>
      </c>
      <c r="K10" s="615">
        <v>151089</v>
      </c>
    </row>
    <row r="11" spans="1:11" ht="15.5">
      <c r="B11" s="593" t="s">
        <v>1038</v>
      </c>
      <c r="C11" s="613">
        <v>18473.431506849316</v>
      </c>
      <c r="D11" s="613">
        <v>19301.247226775959</v>
      </c>
      <c r="E11" s="613">
        <v>20245.554095890413</v>
      </c>
      <c r="F11" s="613">
        <v>21452.374917808218</v>
      </c>
      <c r="G11" s="613">
        <v>21246.115369863015</v>
      </c>
      <c r="H11" s="613">
        <v>18696.882172131147</v>
      </c>
      <c r="I11" s="616">
        <v>24372</v>
      </c>
      <c r="J11" s="616">
        <v>25915</v>
      </c>
      <c r="K11" s="616">
        <v>25508</v>
      </c>
    </row>
    <row r="12" spans="1:11" ht="15.5">
      <c r="B12" s="594"/>
      <c r="C12" s="614"/>
      <c r="D12" s="614"/>
      <c r="E12" s="614"/>
      <c r="F12" s="614"/>
      <c r="G12" s="614"/>
      <c r="H12" s="614"/>
      <c r="I12" s="614"/>
      <c r="J12" s="614"/>
      <c r="K12" s="614"/>
    </row>
    <row r="13" spans="1:11" ht="15.5">
      <c r="B13" s="596" t="s">
        <v>1040</v>
      </c>
      <c r="C13" s="597">
        <f t="shared" ref="C13:E13" si="5">+SUM(C14:C15)</f>
        <v>38248.312671232874</v>
      </c>
      <c r="D13" s="597">
        <f t="shared" si="5"/>
        <v>41332.594262295082</v>
      </c>
      <c r="E13" s="597">
        <f t="shared" si="5"/>
        <v>42403.794726027394</v>
      </c>
      <c r="F13" s="597">
        <f>+SUM(F14:F15)</f>
        <v>43920.385342465757</v>
      </c>
      <c r="G13" s="597">
        <f t="shared" ref="G13:H13" si="6">+SUM(G14:G15)</f>
        <v>45886.633904109585</v>
      </c>
      <c r="H13" s="597">
        <f t="shared" si="6"/>
        <v>41594.960177595633</v>
      </c>
      <c r="I13" s="597">
        <v>53875</v>
      </c>
      <c r="J13" s="597">
        <v>71385</v>
      </c>
      <c r="K13" s="597">
        <v>60540</v>
      </c>
    </row>
    <row r="14" spans="1:11" ht="15.5">
      <c r="B14" s="593" t="s">
        <v>1037</v>
      </c>
      <c r="C14" s="613">
        <v>32587.076712328766</v>
      </c>
      <c r="D14" s="613">
        <v>35398.664207650276</v>
      </c>
      <c r="E14" s="613">
        <v>36128.758356164384</v>
      </c>
      <c r="F14" s="613">
        <v>37421.191506849318</v>
      </c>
      <c r="G14" s="613">
        <v>39130.029315068488</v>
      </c>
      <c r="H14" s="613">
        <v>35096.375683060112</v>
      </c>
      <c r="I14" s="615">
        <v>45341</v>
      </c>
      <c r="J14" s="615">
        <v>61904</v>
      </c>
      <c r="K14" s="615">
        <v>51849</v>
      </c>
    </row>
    <row r="15" spans="1:11" ht="15.5">
      <c r="B15" s="593" t="s">
        <v>1038</v>
      </c>
      <c r="C15" s="613">
        <v>5661.2359589041098</v>
      </c>
      <c r="D15" s="613">
        <v>5933.9300546448085</v>
      </c>
      <c r="E15" s="613">
        <v>6275.0363698630135</v>
      </c>
      <c r="F15" s="613">
        <v>6499.1938356164383</v>
      </c>
      <c r="G15" s="613">
        <v>6756.6045890410951</v>
      </c>
      <c r="H15" s="613">
        <v>6498.5844945355202</v>
      </c>
      <c r="I15" s="616">
        <v>8534</v>
      </c>
      <c r="J15" s="616">
        <v>9481</v>
      </c>
      <c r="K15" s="616">
        <v>8691</v>
      </c>
    </row>
    <row r="16" spans="1:11" ht="15.5">
      <c r="B16" s="594"/>
      <c r="C16" s="614"/>
      <c r="D16" s="614"/>
      <c r="E16" s="614"/>
      <c r="F16" s="614"/>
      <c r="G16" s="614"/>
      <c r="H16" s="614"/>
      <c r="I16" s="614"/>
      <c r="J16" s="614"/>
      <c r="K16" s="614"/>
    </row>
    <row r="17" spans="2:11" ht="15.5">
      <c r="B17" s="596" t="s">
        <v>1041</v>
      </c>
      <c r="C17" s="597">
        <f t="shared" ref="C17:E17" si="7">+SUM(C18:C19)</f>
        <v>46102.055958904108</v>
      </c>
      <c r="D17" s="597">
        <f t="shared" si="7"/>
        <v>49904.637704918037</v>
      </c>
      <c r="E17" s="597">
        <f t="shared" si="7"/>
        <v>51654.302465753433</v>
      </c>
      <c r="F17" s="597">
        <f>+SUM(F18:F19)</f>
        <v>54305.041301369871</v>
      </c>
      <c r="G17" s="597">
        <f t="shared" ref="G17:H17" si="8">+SUM(G18:G19)</f>
        <v>56320.221232876713</v>
      </c>
      <c r="H17" s="597">
        <f t="shared" si="8"/>
        <v>49065.719603825142</v>
      </c>
      <c r="I17" s="597">
        <v>62510</v>
      </c>
      <c r="J17" s="597">
        <v>85416</v>
      </c>
      <c r="K17" s="597">
        <v>72107</v>
      </c>
    </row>
    <row r="18" spans="2:11" ht="15.5">
      <c r="B18" s="593" t="s">
        <v>1037</v>
      </c>
      <c r="C18" s="617">
        <v>43458.596164383562</v>
      </c>
      <c r="D18" s="617">
        <v>47014.563387978145</v>
      </c>
      <c r="E18" s="617">
        <v>48543.316986301375</v>
      </c>
      <c r="F18" s="617">
        <v>51042.175342465758</v>
      </c>
      <c r="G18" s="617">
        <v>52867.458356164381</v>
      </c>
      <c r="H18" s="617">
        <v>46320.47978142077</v>
      </c>
      <c r="I18" s="618">
        <v>58807</v>
      </c>
      <c r="J18" s="618">
        <v>81173</v>
      </c>
      <c r="K18" s="618">
        <v>68075</v>
      </c>
    </row>
    <row r="19" spans="2:11" ht="15.5">
      <c r="B19" s="593" t="s">
        <v>1038</v>
      </c>
      <c r="C19" s="617">
        <v>2643.4597945205478</v>
      </c>
      <c r="D19" s="617">
        <v>2890.0743169398907</v>
      </c>
      <c r="E19" s="617">
        <v>3110.9854794520547</v>
      </c>
      <c r="F19" s="617">
        <v>3262.8659589041094</v>
      </c>
      <c r="G19" s="617">
        <v>3452.7628767123292</v>
      </c>
      <c r="H19" s="617">
        <v>2745.2398224043718</v>
      </c>
      <c r="I19" s="619">
        <v>3703</v>
      </c>
      <c r="J19" s="619">
        <v>4243</v>
      </c>
      <c r="K19" s="619">
        <v>4032</v>
      </c>
    </row>
    <row r="20" spans="2:11" ht="15.5">
      <c r="B20" s="594"/>
      <c r="C20" s="614"/>
      <c r="D20" s="614"/>
      <c r="E20" s="614"/>
      <c r="F20" s="614"/>
      <c r="G20" s="614"/>
      <c r="H20" s="614"/>
      <c r="I20" s="614"/>
      <c r="J20" s="614"/>
      <c r="K20" s="614"/>
    </row>
    <row r="21" spans="2:11" ht="15.5">
      <c r="B21" s="596" t="s">
        <v>1042</v>
      </c>
      <c r="C21" s="597">
        <f t="shared" ref="C21:E21" si="9">+SUM(C22:C23)</f>
        <v>28033.411986301366</v>
      </c>
      <c r="D21" s="597">
        <f t="shared" si="9"/>
        <v>29852.16536885246</v>
      </c>
      <c r="E21" s="597">
        <f t="shared" si="9"/>
        <v>31147.383835616438</v>
      </c>
      <c r="F21" s="597">
        <f>+SUM(F22:F23)</f>
        <v>33173.520068493155</v>
      </c>
      <c r="G21" s="597">
        <f t="shared" ref="G21:H21" si="10">+SUM(G22:G23)</f>
        <v>33646.112602739726</v>
      </c>
      <c r="H21" s="597">
        <f t="shared" si="10"/>
        <v>30045.026161202186</v>
      </c>
      <c r="I21" s="597">
        <v>37725</v>
      </c>
      <c r="J21" s="597">
        <v>50548</v>
      </c>
      <c r="K21" s="597">
        <v>43471</v>
      </c>
    </row>
    <row r="22" spans="2:11" ht="15.5">
      <c r="B22" s="593" t="s">
        <v>1037</v>
      </c>
      <c r="C22" s="617">
        <v>26842.662191780819</v>
      </c>
      <c r="D22" s="617">
        <v>28593.476775956286</v>
      </c>
      <c r="E22" s="617">
        <v>29846.906575342466</v>
      </c>
      <c r="F22" s="617">
        <v>31796.538630136987</v>
      </c>
      <c r="G22" s="617">
        <v>32172.480821917808</v>
      </c>
      <c r="H22" s="617">
        <v>28828.93961748634</v>
      </c>
      <c r="I22" s="618">
        <v>36089</v>
      </c>
      <c r="J22" s="618">
        <v>48597</v>
      </c>
      <c r="K22" s="618">
        <v>41707</v>
      </c>
    </row>
    <row r="23" spans="2:11" ht="15.5">
      <c r="B23" s="593" t="s">
        <v>1038</v>
      </c>
      <c r="C23" s="617">
        <v>1190.749794520548</v>
      </c>
      <c r="D23" s="617">
        <v>1258.6885928961749</v>
      </c>
      <c r="E23" s="617">
        <v>1300.4772602739724</v>
      </c>
      <c r="F23" s="617">
        <v>1376.9814383561645</v>
      </c>
      <c r="G23" s="617">
        <v>1473.6317808219178</v>
      </c>
      <c r="H23" s="617">
        <v>1216.086543715847</v>
      </c>
      <c r="I23" s="619">
        <v>1636</v>
      </c>
      <c r="J23" s="619">
        <v>1951</v>
      </c>
      <c r="K23" s="619">
        <v>1764</v>
      </c>
    </row>
    <row r="24" spans="2:11">
      <c r="K24" s="46"/>
    </row>
    <row r="25" spans="2:11">
      <c r="B25" t="s">
        <v>1044</v>
      </c>
      <c r="K25" s="46"/>
    </row>
    <row r="26" spans="2:11">
      <c r="B26" s="46" t="s">
        <v>1080</v>
      </c>
      <c r="K26" s="46"/>
    </row>
    <row r="27" spans="2:11">
      <c r="B27" s="46"/>
      <c r="K27" s="46"/>
    </row>
    <row r="28" spans="2:11">
      <c r="K28" s="46"/>
    </row>
    <row r="29" spans="2:11">
      <c r="K29" s="46"/>
    </row>
    <row r="30" spans="2:11" ht="15.5">
      <c r="B30" s="596" t="s">
        <v>1049</v>
      </c>
      <c r="C30" s="597">
        <v>2015</v>
      </c>
      <c r="D30" s="597">
        <v>2016</v>
      </c>
      <c r="E30" s="597">
        <v>2017</v>
      </c>
      <c r="F30" s="597">
        <v>2018</v>
      </c>
      <c r="G30" s="597">
        <v>2019</v>
      </c>
      <c r="H30" s="597">
        <v>2020</v>
      </c>
      <c r="I30" s="597">
        <v>2021</v>
      </c>
      <c r="J30" s="597" t="s">
        <v>1103</v>
      </c>
      <c r="K30" s="597" t="s">
        <v>1233</v>
      </c>
    </row>
    <row r="31" spans="2:11" ht="15">
      <c r="B31" s="593" t="s">
        <v>1045</v>
      </c>
      <c r="C31" s="595">
        <v>3887.2465753424658</v>
      </c>
      <c r="D31" s="595">
        <v>3980.8142076502731</v>
      </c>
      <c r="E31" s="595">
        <v>3953.6383561643829</v>
      </c>
      <c r="F31" s="595">
        <v>4192.139726027397</v>
      </c>
      <c r="G31" s="595">
        <v>4476.7917808219172</v>
      </c>
      <c r="H31" s="595">
        <v>2652.3743169398908</v>
      </c>
      <c r="I31" s="595">
        <v>3963</v>
      </c>
      <c r="J31" s="595">
        <v>4835</v>
      </c>
      <c r="K31" s="595">
        <v>4667</v>
      </c>
    </row>
    <row r="32" spans="2:11" ht="15">
      <c r="B32" s="593" t="s">
        <v>1046</v>
      </c>
      <c r="C32" s="595">
        <v>5590.682191780822</v>
      </c>
      <c r="D32" s="595">
        <v>5715.6912568306016</v>
      </c>
      <c r="E32" s="595">
        <v>5679.6136986301372</v>
      </c>
      <c r="F32" s="595">
        <v>5928.2191780821922</v>
      </c>
      <c r="G32" s="595">
        <v>6122.2986301369874</v>
      </c>
      <c r="H32" s="595">
        <v>3829.6803278688521</v>
      </c>
      <c r="I32" s="595">
        <v>5932</v>
      </c>
      <c r="J32" s="595">
        <v>7076</v>
      </c>
      <c r="K32" s="595">
        <v>6769</v>
      </c>
    </row>
    <row r="33" spans="2:11" ht="15">
      <c r="B33" s="593" t="s">
        <v>1047</v>
      </c>
      <c r="C33" s="595">
        <v>1213.4356164383562</v>
      </c>
      <c r="D33" s="595">
        <v>1187.5027322404371</v>
      </c>
      <c r="E33" s="595">
        <v>1239.4712328767123</v>
      </c>
      <c r="F33" s="595">
        <v>1643.7972602739724</v>
      </c>
      <c r="G33" s="595">
        <v>1750.0465753424655</v>
      </c>
      <c r="H33" s="595">
        <v>1031.6202185792349</v>
      </c>
      <c r="I33" s="595">
        <v>1279</v>
      </c>
      <c r="J33" s="595">
        <v>2739</v>
      </c>
      <c r="K33" s="595">
        <v>2780</v>
      </c>
    </row>
    <row r="34" spans="2:11" ht="15">
      <c r="B34" s="593" t="s">
        <v>1048</v>
      </c>
      <c r="C34" s="595">
        <v>0</v>
      </c>
      <c r="D34" s="595">
        <v>0</v>
      </c>
      <c r="E34" s="595">
        <v>0</v>
      </c>
      <c r="F34" s="595">
        <v>361.47368421052636</v>
      </c>
      <c r="G34" s="595">
        <v>1651.766304347826</v>
      </c>
      <c r="H34" s="595">
        <v>1184.4289617486338</v>
      </c>
      <c r="I34" s="595">
        <v>1999</v>
      </c>
      <c r="J34" s="595">
        <v>3610</v>
      </c>
      <c r="K34" s="595">
        <v>4453</v>
      </c>
    </row>
    <row r="36" spans="2:11">
      <c r="B36" t="s">
        <v>1050</v>
      </c>
    </row>
  </sheetData>
  <phoneticPr fontId="204" type="noConversion"/>
  <hyperlinks>
    <hyperlink ref="A1" location="Contenido!A1" display="Volver al Contenido" xr:uid="{BACD426C-C8CD-4457-A922-468F2830ECED}"/>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dimension ref="A1:H46"/>
  <sheetViews>
    <sheetView showGridLines="0" zoomScale="90" zoomScaleNormal="90" workbookViewId="0"/>
  </sheetViews>
  <sheetFormatPr baseColWidth="10" defaultColWidth="11.453125" defaultRowHeight="14.5"/>
  <cols>
    <col min="2" max="2" width="34.1796875" customWidth="1"/>
    <col min="3" max="6" width="13.54296875" customWidth="1"/>
    <col min="7" max="7" width="13.54296875" style="46" customWidth="1"/>
  </cols>
  <sheetData>
    <row r="1" spans="1:8">
      <c r="A1" s="2" t="s">
        <v>16</v>
      </c>
      <c r="B1" s="46"/>
      <c r="C1" s="46"/>
      <c r="D1" s="46"/>
      <c r="E1" s="46"/>
      <c r="F1" s="46"/>
    </row>
    <row r="2" spans="1:8" s="46" customFormat="1">
      <c r="A2" s="2"/>
    </row>
    <row r="3" spans="1:8" s="46" customFormat="1">
      <c r="A3" s="2"/>
    </row>
    <row r="4" spans="1:8" s="46" customFormat="1">
      <c r="A4" s="2"/>
    </row>
    <row r="6" spans="1:8" ht="15.5">
      <c r="A6" s="46"/>
      <c r="B6" s="12" t="s">
        <v>679</v>
      </c>
      <c r="C6" s="78"/>
      <c r="D6" s="78"/>
      <c r="E6" s="78"/>
      <c r="F6" s="46"/>
    </row>
    <row r="7" spans="1:8" ht="15.5">
      <c r="A7" s="46"/>
      <c r="B7" s="14" t="s">
        <v>18</v>
      </c>
      <c r="C7" s="78"/>
      <c r="D7" s="78"/>
      <c r="E7" s="78"/>
      <c r="F7" s="46"/>
    </row>
    <row r="8" spans="1:8" ht="15.5">
      <c r="A8" s="46"/>
      <c r="B8" s="78"/>
      <c r="C8" s="78"/>
      <c r="D8" s="78"/>
      <c r="E8" s="78"/>
      <c r="F8" s="46"/>
    </row>
    <row r="9" spans="1:8" ht="15">
      <c r="A9" s="56"/>
      <c r="B9" s="242" t="s">
        <v>415</v>
      </c>
      <c r="C9" s="243">
        <v>2017</v>
      </c>
      <c r="D9" s="243">
        <v>2018</v>
      </c>
      <c r="E9" s="243">
        <v>2019</v>
      </c>
      <c r="F9" s="276">
        <v>2020</v>
      </c>
      <c r="G9" s="276">
        <v>2021</v>
      </c>
      <c r="H9" s="276" t="s">
        <v>1081</v>
      </c>
    </row>
    <row r="10" spans="1:8" ht="15.5">
      <c r="A10" s="46"/>
      <c r="B10" s="83" t="s">
        <v>4</v>
      </c>
      <c r="C10" s="118">
        <f>+[35]Dividendos!D10</f>
        <v>78851.547697920003</v>
      </c>
      <c r="D10" s="118">
        <f>+[35]Dividendos!E10</f>
        <v>99053.963671999998</v>
      </c>
      <c r="E10" s="118">
        <f>+[35]Dividendos!F10</f>
        <v>135781.84656100001</v>
      </c>
      <c r="F10" s="118">
        <f>+[35]Dividendos!G10</f>
        <v>170616.69114169001</v>
      </c>
      <c r="G10" s="118">
        <f>+[35]Dividendos!H10</f>
        <v>146811.89536550001</v>
      </c>
      <c r="H10" s="118">
        <f>+[35]Dividendos!I10</f>
        <v>242020.42860462307</v>
      </c>
    </row>
    <row r="11" spans="1:8" ht="15.5">
      <c r="A11" s="46"/>
      <c r="B11" s="83" t="s">
        <v>403</v>
      </c>
      <c r="C11" s="118">
        <f>+[35]Dividendos!D11</f>
        <v>7055.9473674999999</v>
      </c>
      <c r="D11" s="118">
        <f>+[35]Dividendos!E11</f>
        <v>12086.495009</v>
      </c>
      <c r="E11" s="118">
        <f>+[35]Dividendos!F11</f>
        <v>6041.7694629999996</v>
      </c>
      <c r="F11" s="118">
        <f>+[35]Dividendos!G11</f>
        <v>7981.3869631499992</v>
      </c>
      <c r="G11" s="118">
        <f>+[35]Dividendos!H11</f>
        <v>9283.7395854799997</v>
      </c>
      <c r="H11" s="118">
        <f>+[35]Dividendos!I11</f>
        <v>2329.1972684439738</v>
      </c>
    </row>
    <row r="12" spans="1:8" ht="15.5">
      <c r="A12" s="46"/>
      <c r="B12" s="83" t="s">
        <v>3</v>
      </c>
      <c r="C12" s="118">
        <f>+[35]Dividendos!D12</f>
        <v>21265.532396999999</v>
      </c>
      <c r="D12" s="118">
        <f>+[35]Dividendos!E12</f>
        <v>21978.812180000001</v>
      </c>
      <c r="E12" s="118">
        <f>+[35]Dividendos!F12</f>
        <v>23829.360186000002</v>
      </c>
      <c r="F12" s="118">
        <f>+[35]Dividendos!G12</f>
        <v>29647.467782</v>
      </c>
      <c r="G12" s="118">
        <f>+[35]Dividendos!H12</f>
        <v>26481.168276</v>
      </c>
      <c r="H12" s="118">
        <f>+[35]Dividendos!I12</f>
        <v>34282.706503000001</v>
      </c>
    </row>
    <row r="13" spans="1:8" ht="15.5">
      <c r="A13" s="46"/>
      <c r="B13" s="83" t="s">
        <v>404</v>
      </c>
      <c r="C13" s="118">
        <f>+[35]Dividendos!D13</f>
        <v>702.6751392000001</v>
      </c>
      <c r="D13" s="118">
        <f>+[35]Dividendos!E13</f>
        <v>1557.0854939999999</v>
      </c>
      <c r="E13" s="118">
        <f>+[35]Dividendos!F13</f>
        <v>465</v>
      </c>
      <c r="F13" s="118">
        <f>+[35]Dividendos!G13</f>
        <v>750</v>
      </c>
      <c r="G13" s="118">
        <f>+[35]Dividendos!H13</f>
        <v>613.07515100000001</v>
      </c>
      <c r="H13" s="118">
        <f>+[35]Dividendos!I13</f>
        <v>259.41804319199997</v>
      </c>
    </row>
    <row r="14" spans="1:8" ht="15.5">
      <c r="A14" s="56" t="s">
        <v>104</v>
      </c>
      <c r="B14" s="248" t="s">
        <v>405</v>
      </c>
      <c r="C14" s="249">
        <f>+SUM(C10:C13)</f>
        <v>107875.70260162001</v>
      </c>
      <c r="D14" s="249">
        <f t="shared" ref="D14:H14" si="0">+SUM(D10:D13)</f>
        <v>134676.356355</v>
      </c>
      <c r="E14" s="249">
        <f t="shared" si="0"/>
        <v>166117.97621000002</v>
      </c>
      <c r="F14" s="249">
        <f t="shared" si="0"/>
        <v>208995.54588684</v>
      </c>
      <c r="G14" s="249">
        <f t="shared" si="0"/>
        <v>183189.87837798003</v>
      </c>
      <c r="H14" s="249">
        <f t="shared" si="0"/>
        <v>278891.75041925907</v>
      </c>
    </row>
    <row r="15" spans="1:8" ht="15.5">
      <c r="A15" s="46"/>
      <c r="B15" s="224"/>
      <c r="C15" s="226"/>
      <c r="D15" s="226"/>
      <c r="E15" s="226"/>
      <c r="F15" s="226"/>
      <c r="G15" s="226"/>
      <c r="H15" s="226"/>
    </row>
    <row r="16" spans="1:8" ht="15">
      <c r="A16" s="46"/>
      <c r="B16" s="242" t="s">
        <v>415</v>
      </c>
      <c r="C16" s="243">
        <v>2017</v>
      </c>
      <c r="D16" s="243">
        <v>2018</v>
      </c>
      <c r="E16" s="243">
        <v>2019</v>
      </c>
      <c r="F16" s="243">
        <v>2020</v>
      </c>
      <c r="G16" s="243">
        <v>2021</v>
      </c>
      <c r="H16" s="243" t="s">
        <v>1081</v>
      </c>
    </row>
    <row r="17" spans="1:8" ht="15.5">
      <c r="A17" s="46"/>
      <c r="B17" s="83" t="s">
        <v>598</v>
      </c>
      <c r="C17" s="118">
        <f>+[35]Dividendos!D17</f>
        <v>8322.3125333500011</v>
      </c>
      <c r="D17" s="118">
        <f>+[35]Dividendos!E17</f>
        <v>7193.5210747499996</v>
      </c>
      <c r="E17" s="118">
        <f>+[35]Dividendos!F17</f>
        <v>9452.8463776000008</v>
      </c>
      <c r="F17" s="118">
        <f>+[35]Dividendos!G17</f>
        <v>47983.215443139998</v>
      </c>
      <c r="G17" s="118">
        <f>+[35]Dividendos!H17</f>
        <v>9705.8868289999991</v>
      </c>
      <c r="H17" s="118">
        <f>+[35]Dividendos!I17</f>
        <v>4931.5423982399998</v>
      </c>
    </row>
    <row r="18" spans="1:8" ht="15.5">
      <c r="A18" s="46"/>
      <c r="B18" s="83" t="s">
        <v>8</v>
      </c>
      <c r="C18" s="118">
        <f>+[35]Dividendos!D18</f>
        <v>34950.36</v>
      </c>
      <c r="D18" s="118">
        <f>+[35]Dividendos!E18</f>
        <v>48526.724999999999</v>
      </c>
      <c r="E18" s="118">
        <f>+[35]Dividendos!F18</f>
        <v>55840.5</v>
      </c>
      <c r="F18" s="118">
        <f>+[35]Dividendos!G18</f>
        <v>81644.284842530004</v>
      </c>
      <c r="G18" s="118">
        <f>+[35]Dividendos!H18</f>
        <v>108603.41851702001</v>
      </c>
      <c r="H18" s="118">
        <f>+[35]Dividendos!I18</f>
        <v>63287.10567583231</v>
      </c>
    </row>
    <row r="19" spans="1:8" ht="15.5">
      <c r="A19" s="46"/>
      <c r="B19" s="83" t="s">
        <v>9</v>
      </c>
      <c r="C19" s="118">
        <f>+[35]Dividendos!D19</f>
        <v>7967.5199805299999</v>
      </c>
      <c r="D19" s="118">
        <f>+[35]Dividendos!E19</f>
        <v>7826.9033983999998</v>
      </c>
      <c r="E19" s="118">
        <f>+[35]Dividendos!F19</f>
        <v>10403.445011</v>
      </c>
      <c r="F19" s="118">
        <f>+[35]Dividendos!G19</f>
        <v>17637.024750880002</v>
      </c>
      <c r="G19" s="118">
        <f>+[35]Dividendos!H19</f>
        <v>0</v>
      </c>
      <c r="H19" s="118">
        <f>+[35]Dividendos!I19</f>
        <v>12698.428648360927</v>
      </c>
    </row>
    <row r="20" spans="1:8" ht="15.5">
      <c r="A20" s="46"/>
      <c r="B20" s="83" t="s">
        <v>376</v>
      </c>
      <c r="C20" s="118">
        <f>+[35]Dividendos!D20</f>
        <v>0</v>
      </c>
      <c r="D20" s="118">
        <f>+[35]Dividendos!E20</f>
        <v>111221.75999999999</v>
      </c>
      <c r="E20" s="118">
        <f>+[35]Dividendos!F20</f>
        <v>120987.75</v>
      </c>
      <c r="F20" s="118">
        <f>+[35]Dividendos!G20</f>
        <v>151338.72</v>
      </c>
      <c r="G20" s="118">
        <f>+[35]Dividendos!H20</f>
        <v>256574.67</v>
      </c>
      <c r="H20" s="118">
        <f>+[35]Dividendos!I20</f>
        <v>45848.04</v>
      </c>
    </row>
    <row r="21" spans="1:8" ht="15.5">
      <c r="A21" s="46"/>
      <c r="B21" s="83" t="s">
        <v>680</v>
      </c>
      <c r="C21" s="118">
        <f>+[35]Dividendos!D21</f>
        <v>2879.3759279999999</v>
      </c>
      <c r="D21" s="118">
        <f>+[35]Dividendos!E21</f>
        <v>8549.504379</v>
      </c>
      <c r="E21" s="118">
        <f>+[35]Dividendos!F21</f>
        <v>4778.2111064999999</v>
      </c>
      <c r="F21" s="118">
        <f>+[35]Dividendos!G21</f>
        <v>12381.39003255</v>
      </c>
      <c r="G21" s="118">
        <f>+[35]Dividendos!H21</f>
        <v>0</v>
      </c>
      <c r="H21" s="118">
        <f>+[35]Dividendos!I21</f>
        <v>0</v>
      </c>
    </row>
    <row r="22" spans="1:8" ht="15.5">
      <c r="A22" s="46"/>
      <c r="B22" s="83" t="s">
        <v>681</v>
      </c>
      <c r="C22" s="118">
        <f>+[35]Dividendos!D22</f>
        <v>2293.33840616</v>
      </c>
      <c r="D22" s="118">
        <f>+[35]Dividendos!E22</f>
        <v>2365.3841248799999</v>
      </c>
      <c r="E22" s="118">
        <f>+[35]Dividendos!F22</f>
        <v>2890.2296939399998</v>
      </c>
      <c r="F22" s="118">
        <f>+[35]Dividendos!G22</f>
        <v>3578.1572996599998</v>
      </c>
      <c r="G22" s="118">
        <f>+[35]Dividendos!H22</f>
        <v>3350.24473266</v>
      </c>
      <c r="H22" s="118">
        <f>+[35]Dividendos!I22</f>
        <v>1763.0723230000001</v>
      </c>
    </row>
    <row r="23" spans="1:8" ht="15.5">
      <c r="A23" s="46"/>
      <c r="B23" s="83" t="s">
        <v>682</v>
      </c>
      <c r="C23" s="118">
        <f>+[35]Dividendos!D23</f>
        <v>0</v>
      </c>
      <c r="D23" s="118">
        <f>+[35]Dividendos!E23</f>
        <v>2719.3969699999998</v>
      </c>
      <c r="E23" s="118">
        <f>+[35]Dividendos!F23</f>
        <v>0</v>
      </c>
      <c r="F23" s="118">
        <f>+[35]Dividendos!G23</f>
        <v>0</v>
      </c>
      <c r="G23" s="118">
        <f>+[35]Dividendos!H23</f>
        <v>53833.514428930001</v>
      </c>
      <c r="H23" s="118">
        <f>+[35]Dividendos!I23</f>
        <v>0</v>
      </c>
    </row>
    <row r="24" spans="1:8" ht="15.5">
      <c r="A24" s="46"/>
      <c r="B24" s="609" t="s">
        <v>683</v>
      </c>
      <c r="C24" s="118">
        <f>+[35]Dividendos!D24</f>
        <v>0</v>
      </c>
      <c r="D24" s="118">
        <f>+[35]Dividendos!E24</f>
        <v>0</v>
      </c>
      <c r="E24" s="118">
        <f>+[35]Dividendos!F24</f>
        <v>275414.48725000001</v>
      </c>
      <c r="F24" s="118">
        <f>+[35]Dividendos!G24</f>
        <v>172754.18018920001</v>
      </c>
      <c r="G24" s="118">
        <f>+[35]Dividendos!H24</f>
        <v>433972.92097229999</v>
      </c>
      <c r="H24" s="118">
        <f>+[35]Dividendos!I24</f>
        <v>239800.079654</v>
      </c>
    </row>
    <row r="25" spans="1:8" ht="15.5">
      <c r="A25" s="46"/>
      <c r="B25" s="83" t="s">
        <v>684</v>
      </c>
      <c r="C25" s="118">
        <f>+[35]Dividendos!D25</f>
        <v>0</v>
      </c>
      <c r="D25" s="118">
        <f>+[35]Dividendos!E25</f>
        <v>0</v>
      </c>
      <c r="E25" s="118">
        <f>+[35]Dividendos!F25</f>
        <v>0</v>
      </c>
      <c r="F25" s="118">
        <f>+[35]Dividendos!G25</f>
        <v>71698.663217179987</v>
      </c>
      <c r="G25" s="118">
        <f>+[35]Dividendos!H25</f>
        <v>85724.768589929998</v>
      </c>
      <c r="H25" s="118">
        <f>+[35]Dividendos!I25</f>
        <v>190500.85167229918</v>
      </c>
    </row>
    <row r="26" spans="1:8" ht="15.5">
      <c r="A26" s="56" t="s">
        <v>104</v>
      </c>
      <c r="B26" s="248" t="s">
        <v>685</v>
      </c>
      <c r="C26" s="249">
        <f>+SUM(C17:C25)</f>
        <v>56412.906848040002</v>
      </c>
      <c r="D26" s="249">
        <f t="shared" ref="D26:H26" si="1">+SUM(D17:D25)</f>
        <v>188403.19494702996</v>
      </c>
      <c r="E26" s="249">
        <f t="shared" si="1"/>
        <v>479767.46943904005</v>
      </c>
      <c r="F26" s="249">
        <f t="shared" si="1"/>
        <v>559015.6357751399</v>
      </c>
      <c r="G26" s="249">
        <f t="shared" si="1"/>
        <v>951765.42406984011</v>
      </c>
      <c r="H26" s="249">
        <f t="shared" si="1"/>
        <v>558829.1203717324</v>
      </c>
    </row>
    <row r="27" spans="1:8" ht="15.5">
      <c r="A27" s="46"/>
      <c r="B27" s="225"/>
      <c r="C27" s="227"/>
      <c r="D27" s="227"/>
      <c r="E27" s="227"/>
      <c r="F27" s="227"/>
      <c r="G27" s="227"/>
      <c r="H27" s="227"/>
    </row>
    <row r="28" spans="1:8" ht="15.5">
      <c r="A28" s="56" t="s">
        <v>104</v>
      </c>
      <c r="B28" s="248" t="s">
        <v>686</v>
      </c>
      <c r="C28" s="249">
        <f>+C14+C26</f>
        <v>164288.60944966</v>
      </c>
      <c r="D28" s="249">
        <f t="shared" ref="D28:H28" si="2">+D14+D26</f>
        <v>323079.55130202998</v>
      </c>
      <c r="E28" s="249">
        <f t="shared" si="2"/>
        <v>645885.44564904005</v>
      </c>
      <c r="F28" s="249">
        <f t="shared" si="2"/>
        <v>768011.18166197988</v>
      </c>
      <c r="G28" s="249">
        <f t="shared" si="2"/>
        <v>1134955.3024478201</v>
      </c>
      <c r="H28" s="249">
        <f t="shared" si="2"/>
        <v>837720.87079099147</v>
      </c>
    </row>
    <row r="29" spans="1:8">
      <c r="A29" s="46"/>
      <c r="B29" s="46"/>
      <c r="C29" s="46"/>
      <c r="D29" s="46"/>
      <c r="E29" s="46"/>
      <c r="F29" s="46"/>
    </row>
    <row r="30" spans="1:8">
      <c r="A30" s="46"/>
      <c r="B30" s="46"/>
      <c r="C30" s="46"/>
      <c r="D30" s="46"/>
      <c r="E30" s="46"/>
      <c r="F30" s="46"/>
    </row>
    <row r="31" spans="1:8">
      <c r="A31" s="46"/>
      <c r="B31" s="46"/>
      <c r="C31" s="46"/>
      <c r="D31" s="46"/>
      <c r="E31" s="46"/>
      <c r="F31" s="46"/>
    </row>
    <row r="32" spans="1:8" ht="15">
      <c r="A32" s="56" t="s">
        <v>104</v>
      </c>
      <c r="B32" s="12" t="s">
        <v>687</v>
      </c>
      <c r="C32" s="46"/>
      <c r="D32" s="46"/>
      <c r="E32" s="46"/>
      <c r="F32" s="46"/>
    </row>
    <row r="33" spans="1:8" ht="15">
      <c r="A33" s="46"/>
      <c r="B33" s="14" t="s">
        <v>18</v>
      </c>
      <c r="C33" s="46"/>
      <c r="D33" s="46"/>
      <c r="E33" s="46"/>
      <c r="F33" s="46"/>
    </row>
    <row r="34" spans="1:8">
      <c r="A34" s="46"/>
      <c r="B34" s="46"/>
      <c r="C34" s="46"/>
      <c r="D34" s="46"/>
      <c r="E34" s="46"/>
      <c r="F34" s="46"/>
    </row>
    <row r="35" spans="1:8">
      <c r="A35" s="46"/>
      <c r="B35" s="228"/>
      <c r="C35" s="610">
        <v>2017</v>
      </c>
      <c r="D35" s="610">
        <v>2018</v>
      </c>
      <c r="E35" s="610">
        <v>2019</v>
      </c>
      <c r="F35" s="610">
        <v>2020</v>
      </c>
      <c r="G35" s="610">
        <v>2021</v>
      </c>
      <c r="H35" s="610">
        <v>2022</v>
      </c>
    </row>
    <row r="36" spans="1:8">
      <c r="A36" s="46"/>
      <c r="B36" s="44" t="s">
        <v>688</v>
      </c>
      <c r="C36" s="10">
        <f>+[35]Dividendos!D36</f>
        <v>434209.73444799997</v>
      </c>
      <c r="D36" s="10">
        <f>+[35]Dividendos!E36</f>
        <v>600361.41854800005</v>
      </c>
      <c r="E36" s="10">
        <f>+[35]Dividendos!F36</f>
        <v>611438.19748800003</v>
      </c>
      <c r="F36" s="10">
        <f>+[35]Dividendos!G36</f>
        <v>747682.57845000003</v>
      </c>
      <c r="G36" s="10">
        <f>+[35]Dividendos!H36</f>
        <v>1443303.9883739999</v>
      </c>
      <c r="H36" s="10">
        <v>829651</v>
      </c>
    </row>
    <row r="37" spans="1:8">
      <c r="A37" s="46"/>
      <c r="B37" s="36" t="s">
        <v>689</v>
      </c>
      <c r="C37" s="37">
        <f>+[35]Dividendos!D37</f>
        <v>392</v>
      </c>
      <c r="D37" s="37">
        <f>+[35]Dividendos!E37</f>
        <v>542</v>
      </c>
      <c r="E37" s="37">
        <f>+[35]Dividendos!F37</f>
        <v>552</v>
      </c>
      <c r="F37" s="37">
        <f>+[35]Dividendos!G37</f>
        <v>675</v>
      </c>
      <c r="G37" s="37">
        <f>+[35]Dividendos!H37</f>
        <v>1303</v>
      </c>
      <c r="H37" s="37">
        <v>749</v>
      </c>
    </row>
    <row r="38" spans="1:8">
      <c r="A38" s="56" t="s">
        <v>104</v>
      </c>
      <c r="B38" s="46"/>
      <c r="C38" s="46"/>
      <c r="D38" s="46"/>
      <c r="E38" s="46"/>
      <c r="F38" s="46"/>
    </row>
    <row r="39" spans="1:8" s="46" customFormat="1" ht="15">
      <c r="A39" s="56"/>
      <c r="B39" s="250" t="s">
        <v>716</v>
      </c>
    </row>
    <row r="40" spans="1:8" ht="15">
      <c r="B40" s="14" t="s">
        <v>1067</v>
      </c>
    </row>
    <row r="41" spans="1:8" ht="15">
      <c r="B41" s="14" t="s">
        <v>715</v>
      </c>
    </row>
    <row r="46" spans="1:8">
      <c r="C46" s="547"/>
      <c r="D46" s="547"/>
      <c r="E46" s="547"/>
      <c r="F46" s="547"/>
      <c r="G46" s="547"/>
    </row>
  </sheetData>
  <hyperlinks>
    <hyperlink ref="A1" location="Contenido!A1" display="Volver al Contenido" xr:uid="{01A44CB0-5EE5-48F9-81C0-243E7FB0B496}"/>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76E1C-1002-4211-9772-CA84375E6629}">
  <dimension ref="A1:G68"/>
  <sheetViews>
    <sheetView showGridLines="0" tabSelected="1" topLeftCell="A46" zoomScale="90" zoomScaleNormal="90" workbookViewId="0">
      <selection activeCell="D65" sqref="D65"/>
    </sheetView>
  </sheetViews>
  <sheetFormatPr baseColWidth="10" defaultColWidth="11.453125" defaultRowHeight="14.5"/>
  <cols>
    <col min="1" max="1" width="4.54296875" style="260" customWidth="1"/>
    <col min="2" max="2" width="19.453125" style="260" customWidth="1"/>
    <col min="3" max="3" width="62.453125" style="260" bestFit="1" customWidth="1"/>
    <col min="4" max="4" width="14" style="260" customWidth="1"/>
    <col min="5" max="5" width="19.81640625" style="260" customWidth="1"/>
    <col min="6" max="6" width="16.453125" style="260" customWidth="1"/>
    <col min="7" max="7" width="17" style="260" customWidth="1"/>
    <col min="8" max="16384" width="11.453125" style="260"/>
  </cols>
  <sheetData>
    <row r="1" spans="1:7" s="46" customFormat="1">
      <c r="A1" s="2" t="s">
        <v>16</v>
      </c>
    </row>
    <row r="2" spans="1:7" s="46" customFormat="1">
      <c r="A2" s="2"/>
    </row>
    <row r="3" spans="1:7" s="46" customFormat="1">
      <c r="A3" s="2"/>
    </row>
    <row r="4" spans="1:7" s="46" customFormat="1">
      <c r="A4" s="2"/>
    </row>
    <row r="5" spans="1:7" s="46" customFormat="1">
      <c r="A5" s="2"/>
    </row>
    <row r="6" spans="1:7" s="46" customFormat="1"/>
    <row r="7" spans="1:7" ht="16.5" customHeight="1">
      <c r="B7" s="795" t="s">
        <v>900</v>
      </c>
      <c r="C7" s="795"/>
      <c r="D7" s="795"/>
      <c r="E7" s="795"/>
      <c r="F7" s="795"/>
      <c r="G7" s="795"/>
    </row>
    <row r="8" spans="1:7" s="342" customFormat="1" ht="42" customHeight="1">
      <c r="B8" s="417" t="s">
        <v>366</v>
      </c>
      <c r="C8" s="417" t="s">
        <v>690</v>
      </c>
      <c r="D8" s="417" t="s">
        <v>691</v>
      </c>
      <c r="E8" s="417" t="s">
        <v>692</v>
      </c>
      <c r="F8" s="417" t="s">
        <v>693</v>
      </c>
      <c r="G8" s="417" t="s">
        <v>694</v>
      </c>
    </row>
    <row r="9" spans="1:7">
      <c r="B9" s="796" t="s">
        <v>388</v>
      </c>
      <c r="C9" s="419" t="s">
        <v>740</v>
      </c>
      <c r="D9" s="420">
        <v>0</v>
      </c>
      <c r="E9" s="421" t="s">
        <v>889</v>
      </c>
      <c r="F9" s="418">
        <v>0.77</v>
      </c>
      <c r="G9" s="422">
        <v>0.1</v>
      </c>
    </row>
    <row r="10" spans="1:7">
      <c r="B10" s="796"/>
      <c r="C10" s="419" t="s">
        <v>741</v>
      </c>
      <c r="D10" s="420">
        <v>0</v>
      </c>
      <c r="E10" s="421" t="s">
        <v>889</v>
      </c>
      <c r="F10" s="418">
        <v>0.55000000000000004</v>
      </c>
      <c r="G10" s="422">
        <v>0.5</v>
      </c>
    </row>
    <row r="11" spans="1:7">
      <c r="B11" s="797"/>
      <c r="C11" s="419" t="s">
        <v>742</v>
      </c>
      <c r="D11" s="420">
        <v>0</v>
      </c>
      <c r="E11" s="421" t="s">
        <v>889</v>
      </c>
      <c r="F11" s="418">
        <v>0.56000000000000005</v>
      </c>
      <c r="G11" s="422">
        <v>0.4</v>
      </c>
    </row>
    <row r="12" spans="1:7">
      <c r="B12" s="683" t="s">
        <v>1191</v>
      </c>
      <c r="C12" s="419" t="s">
        <v>1192</v>
      </c>
      <c r="D12" s="420">
        <f>1415/3</f>
        <v>471.66666666666669</v>
      </c>
      <c r="E12" s="421" t="s">
        <v>1193</v>
      </c>
      <c r="F12" s="418">
        <v>0.03</v>
      </c>
      <c r="G12" s="422">
        <f>116.3/3</f>
        <v>38.766666666666666</v>
      </c>
    </row>
    <row r="13" spans="1:7">
      <c r="B13" s="798" t="s">
        <v>490</v>
      </c>
      <c r="C13" s="419" t="s">
        <v>695</v>
      </c>
      <c r="D13" s="420">
        <v>351.7</v>
      </c>
      <c r="E13" s="421" t="s">
        <v>886</v>
      </c>
      <c r="F13" s="418">
        <v>0.99</v>
      </c>
      <c r="G13" s="422">
        <v>14.13</v>
      </c>
    </row>
    <row r="14" spans="1:7">
      <c r="B14" s="796"/>
      <c r="C14" s="419" t="s">
        <v>698</v>
      </c>
      <c r="D14" s="420">
        <v>16</v>
      </c>
      <c r="E14" s="421" t="s">
        <v>886</v>
      </c>
      <c r="F14" s="418">
        <v>0.87</v>
      </c>
      <c r="G14" s="422">
        <v>10.8</v>
      </c>
    </row>
    <row r="15" spans="1:7">
      <c r="B15" s="796"/>
      <c r="C15" s="419" t="s">
        <v>1068</v>
      </c>
      <c r="D15" s="420">
        <v>0</v>
      </c>
      <c r="E15" s="421" t="s">
        <v>887</v>
      </c>
      <c r="F15" s="418">
        <v>0.31</v>
      </c>
      <c r="G15" s="422">
        <v>0.75</v>
      </c>
    </row>
    <row r="16" spans="1:7">
      <c r="B16" s="796"/>
      <c r="C16" s="419" t="s">
        <v>697</v>
      </c>
      <c r="D16" s="420">
        <v>65</v>
      </c>
      <c r="E16" s="421" t="s">
        <v>887</v>
      </c>
      <c r="F16" s="418">
        <v>0.89</v>
      </c>
      <c r="G16" s="422">
        <v>4.9000000000000004</v>
      </c>
    </row>
    <row r="17" spans="2:7">
      <c r="B17" s="796"/>
      <c r="C17" s="419" t="s">
        <v>885</v>
      </c>
      <c r="D17" s="420">
        <v>37</v>
      </c>
      <c r="E17" s="421" t="s">
        <v>1052</v>
      </c>
      <c r="F17" s="418">
        <v>0.66</v>
      </c>
      <c r="G17" s="422">
        <v>2.7</v>
      </c>
    </row>
    <row r="18" spans="2:7">
      <c r="B18" s="796"/>
      <c r="C18" s="419" t="s">
        <v>696</v>
      </c>
      <c r="D18" s="420">
        <v>289</v>
      </c>
      <c r="E18" s="421" t="s">
        <v>1117</v>
      </c>
      <c r="F18" s="418">
        <v>0.67</v>
      </c>
      <c r="G18" s="422">
        <v>18.2</v>
      </c>
    </row>
    <row r="19" spans="2:7">
      <c r="B19" s="796"/>
      <c r="C19" s="419" t="s">
        <v>888</v>
      </c>
      <c r="D19" s="420">
        <v>218</v>
      </c>
      <c r="E19" s="421" t="s">
        <v>1117</v>
      </c>
      <c r="F19" s="418">
        <v>0.51</v>
      </c>
      <c r="G19" s="422">
        <v>7.1</v>
      </c>
    </row>
    <row r="20" spans="2:7">
      <c r="B20" s="796"/>
      <c r="C20" s="419" t="s">
        <v>1069</v>
      </c>
      <c r="D20" s="420">
        <v>68</v>
      </c>
      <c r="E20" s="421" t="s">
        <v>1194</v>
      </c>
      <c r="F20" s="418">
        <v>0.26</v>
      </c>
      <c r="G20" s="422">
        <v>4.6500000000000004</v>
      </c>
    </row>
    <row r="21" spans="2:7">
      <c r="B21" s="796"/>
      <c r="C21" s="419" t="s">
        <v>699</v>
      </c>
      <c r="D21" s="420">
        <v>275</v>
      </c>
      <c r="E21" s="421" t="s">
        <v>890</v>
      </c>
      <c r="F21" s="418">
        <v>0.49</v>
      </c>
      <c r="G21" s="422">
        <v>9.4</v>
      </c>
    </row>
    <row r="22" spans="2:7">
      <c r="B22" s="796"/>
      <c r="C22" s="419" t="s">
        <v>891</v>
      </c>
      <c r="D22" s="420">
        <v>16</v>
      </c>
      <c r="E22" s="421" t="s">
        <v>892</v>
      </c>
      <c r="F22" s="418">
        <v>0.15</v>
      </c>
      <c r="G22" s="422">
        <v>1.5</v>
      </c>
    </row>
    <row r="23" spans="2:7">
      <c r="B23" s="798" t="s">
        <v>393</v>
      </c>
      <c r="C23" s="419" t="s">
        <v>1070</v>
      </c>
      <c r="D23" s="420">
        <v>0</v>
      </c>
      <c r="E23" s="421" t="s">
        <v>893</v>
      </c>
      <c r="F23" s="418">
        <v>0.66</v>
      </c>
      <c r="G23" s="422">
        <v>0.05</v>
      </c>
    </row>
    <row r="24" spans="2:7" s="606" customFormat="1">
      <c r="B24" s="796"/>
      <c r="C24" s="419" t="s">
        <v>1071</v>
      </c>
      <c r="D24" s="420">
        <v>0</v>
      </c>
      <c r="E24" s="421" t="s">
        <v>887</v>
      </c>
      <c r="F24" s="418">
        <v>0.77</v>
      </c>
      <c r="G24" s="422">
        <v>5.2</v>
      </c>
    </row>
    <row r="25" spans="2:7">
      <c r="B25" s="796"/>
      <c r="C25" s="419" t="s">
        <v>1118</v>
      </c>
      <c r="D25" s="420">
        <v>7</v>
      </c>
      <c r="E25" s="421" t="s">
        <v>894</v>
      </c>
      <c r="F25" s="418">
        <v>0.43</v>
      </c>
      <c r="G25" s="422">
        <v>0.7</v>
      </c>
    </row>
    <row r="26" spans="2:7">
      <c r="B26" s="796"/>
      <c r="C26" s="419" t="s">
        <v>1072</v>
      </c>
      <c r="D26" s="420">
        <v>0</v>
      </c>
      <c r="E26" s="421" t="s">
        <v>894</v>
      </c>
      <c r="F26" s="418">
        <v>0.4</v>
      </c>
      <c r="G26" s="422">
        <v>1.1499999999999999</v>
      </c>
    </row>
    <row r="27" spans="2:7">
      <c r="B27" s="797"/>
      <c r="C27" s="419" t="s">
        <v>1195</v>
      </c>
      <c r="D27" s="420">
        <v>0</v>
      </c>
      <c r="E27" s="421" t="s">
        <v>1196</v>
      </c>
      <c r="F27" s="418">
        <v>0.04</v>
      </c>
      <c r="G27" s="422">
        <v>7.2</v>
      </c>
    </row>
    <row r="28" spans="2:7">
      <c r="B28" s="794" t="s">
        <v>380</v>
      </c>
      <c r="C28" s="419" t="s">
        <v>702</v>
      </c>
      <c r="D28" s="420">
        <v>676</v>
      </c>
      <c r="E28" s="682" t="s">
        <v>886</v>
      </c>
      <c r="F28" s="418">
        <v>0.98</v>
      </c>
      <c r="G28" s="422">
        <v>32.4</v>
      </c>
    </row>
    <row r="29" spans="2:7">
      <c r="B29" s="794"/>
      <c r="C29" s="419" t="s">
        <v>700</v>
      </c>
      <c r="D29" s="420">
        <v>79</v>
      </c>
      <c r="E29" s="682" t="s">
        <v>886</v>
      </c>
      <c r="F29" s="418">
        <v>0.93</v>
      </c>
      <c r="G29" s="422">
        <v>14.3</v>
      </c>
    </row>
    <row r="30" spans="2:7">
      <c r="B30" s="794"/>
      <c r="C30" s="419" t="s">
        <v>703</v>
      </c>
      <c r="D30" s="420">
        <v>1115</v>
      </c>
      <c r="E30" s="682" t="s">
        <v>893</v>
      </c>
      <c r="F30" s="418">
        <v>0.98</v>
      </c>
      <c r="G30" s="422">
        <v>81.2</v>
      </c>
    </row>
    <row r="31" spans="2:7" ht="16.5" customHeight="1">
      <c r="B31" s="794"/>
      <c r="C31" s="419" t="s">
        <v>704</v>
      </c>
      <c r="D31" s="420">
        <v>57</v>
      </c>
      <c r="E31" s="682" t="s">
        <v>894</v>
      </c>
      <c r="F31" s="418">
        <v>0.97</v>
      </c>
      <c r="G31" s="422">
        <v>11.8</v>
      </c>
    </row>
    <row r="32" spans="2:7">
      <c r="B32" s="794"/>
      <c r="C32" s="419" t="s">
        <v>706</v>
      </c>
      <c r="D32" s="420">
        <v>169</v>
      </c>
      <c r="E32" s="682" t="s">
        <v>892</v>
      </c>
      <c r="F32" s="418">
        <v>0.54</v>
      </c>
      <c r="G32" s="422">
        <v>9.5</v>
      </c>
    </row>
    <row r="33" spans="2:7">
      <c r="B33" s="794"/>
      <c r="C33" s="419" t="s">
        <v>707</v>
      </c>
      <c r="D33" s="420">
        <v>173</v>
      </c>
      <c r="E33" s="682" t="s">
        <v>892</v>
      </c>
      <c r="F33" s="418">
        <v>0.64</v>
      </c>
      <c r="G33" s="422">
        <v>9.8000000000000007</v>
      </c>
    </row>
    <row r="34" spans="2:7">
      <c r="B34" s="794"/>
      <c r="C34" s="419" t="s">
        <v>743</v>
      </c>
      <c r="D34" s="420">
        <v>30</v>
      </c>
      <c r="E34" s="682" t="s">
        <v>896</v>
      </c>
      <c r="F34" s="418">
        <v>0.27</v>
      </c>
      <c r="G34" s="422">
        <v>13</v>
      </c>
    </row>
    <row r="35" spans="2:7">
      <c r="B35" s="794" t="s">
        <v>376</v>
      </c>
      <c r="C35" s="419" t="s">
        <v>1119</v>
      </c>
      <c r="D35" s="420">
        <v>392</v>
      </c>
      <c r="E35" s="682" t="s">
        <v>1052</v>
      </c>
      <c r="F35" s="418">
        <v>0.85</v>
      </c>
      <c r="G35" s="422">
        <v>22.3</v>
      </c>
    </row>
    <row r="36" spans="2:7">
      <c r="B36" s="794"/>
      <c r="C36" s="419" t="s">
        <v>1121</v>
      </c>
      <c r="D36" s="420">
        <v>405</v>
      </c>
      <c r="E36" s="682" t="s">
        <v>1194</v>
      </c>
      <c r="F36" s="418">
        <v>0.77</v>
      </c>
      <c r="G36" s="422">
        <v>18.3</v>
      </c>
    </row>
    <row r="37" spans="2:7" s="606" customFormat="1">
      <c r="B37" s="794"/>
      <c r="C37" s="419" t="s">
        <v>1073</v>
      </c>
      <c r="D37" s="420">
        <v>7</v>
      </c>
      <c r="E37" s="682" t="s">
        <v>895</v>
      </c>
      <c r="F37" s="418">
        <v>0.24</v>
      </c>
      <c r="G37" s="422">
        <v>1.65</v>
      </c>
    </row>
    <row r="38" spans="2:7" s="606" customFormat="1">
      <c r="B38" s="794"/>
      <c r="C38" s="419" t="s">
        <v>1122</v>
      </c>
      <c r="D38" s="420">
        <v>1</v>
      </c>
      <c r="E38" s="682" t="s">
        <v>895</v>
      </c>
      <c r="F38" s="418">
        <v>0.27</v>
      </c>
      <c r="G38" s="422">
        <v>1.8</v>
      </c>
    </row>
    <row r="39" spans="2:7" s="606" customFormat="1">
      <c r="B39" s="794"/>
      <c r="C39" s="419" t="s">
        <v>1123</v>
      </c>
      <c r="D39" s="420">
        <v>1</v>
      </c>
      <c r="E39" s="682" t="s">
        <v>895</v>
      </c>
      <c r="F39" s="418">
        <v>0.24</v>
      </c>
      <c r="G39" s="422">
        <v>1.8</v>
      </c>
    </row>
    <row r="40" spans="2:7" s="606" customFormat="1">
      <c r="B40" s="794"/>
      <c r="C40" s="419" t="s">
        <v>1120</v>
      </c>
      <c r="D40" s="420">
        <v>0</v>
      </c>
      <c r="E40" s="682" t="s">
        <v>1197</v>
      </c>
      <c r="F40" s="418">
        <v>0.28999999999999998</v>
      </c>
      <c r="G40" s="422">
        <v>3</v>
      </c>
    </row>
    <row r="41" spans="2:7" s="606" customFormat="1">
      <c r="B41" s="794"/>
      <c r="C41" s="419" t="s">
        <v>1124</v>
      </c>
      <c r="D41" s="420">
        <v>2</v>
      </c>
      <c r="E41" s="682" t="s">
        <v>897</v>
      </c>
      <c r="F41" s="418">
        <v>0.28999999999999998</v>
      </c>
      <c r="G41" s="422">
        <v>3</v>
      </c>
    </row>
    <row r="42" spans="2:7" s="606" customFormat="1">
      <c r="B42" s="683"/>
      <c r="C42" s="277"/>
      <c r="D42" s="278"/>
      <c r="E42" s="683"/>
      <c r="F42" s="279"/>
    </row>
    <row r="43" spans="2:7" s="606" customFormat="1">
      <c r="B43" s="280" t="s">
        <v>898</v>
      </c>
      <c r="C43" s="277"/>
      <c r="D43" s="696">
        <f>SUM(D9:D41)</f>
        <v>4921.3666666666668</v>
      </c>
      <c r="E43" s="683"/>
      <c r="F43" s="279"/>
      <c r="G43" s="697">
        <f>SUM(G9:G41)</f>
        <v>352.04666666666674</v>
      </c>
    </row>
    <row r="44" spans="2:7" s="606" customFormat="1">
      <c r="B44" s="280" t="s">
        <v>1198</v>
      </c>
      <c r="C44" s="277"/>
      <c r="D44" s="278"/>
      <c r="E44" s="683"/>
      <c r="F44" s="279"/>
      <c r="G44" s="697"/>
    </row>
    <row r="45" spans="2:7">
      <c r="B45" s="280"/>
      <c r="C45" s="277"/>
      <c r="D45" s="278"/>
      <c r="E45" s="683"/>
      <c r="F45" s="279"/>
      <c r="G45" s="606"/>
    </row>
    <row r="46" spans="2:7">
      <c r="B46" s="799" t="s">
        <v>1199</v>
      </c>
      <c r="C46" s="799"/>
      <c r="D46" s="799"/>
      <c r="E46" s="799"/>
      <c r="F46" s="799"/>
      <c r="G46" s="799"/>
    </row>
    <row r="47" spans="2:7">
      <c r="B47" s="598" t="s">
        <v>380</v>
      </c>
      <c r="C47" s="419" t="s">
        <v>701</v>
      </c>
      <c r="D47" s="420">
        <v>1248</v>
      </c>
      <c r="E47" s="421"/>
      <c r="F47" s="698"/>
      <c r="G47" s="422">
        <v>21.7</v>
      </c>
    </row>
    <row r="48" spans="2:7">
      <c r="B48" s="598"/>
      <c r="C48" s="419" t="s">
        <v>705</v>
      </c>
      <c r="D48" s="420">
        <v>37</v>
      </c>
      <c r="E48" s="421"/>
      <c r="F48" s="698"/>
      <c r="G48" s="422">
        <v>1.3</v>
      </c>
    </row>
    <row r="49" spans="2:7">
      <c r="B49" s="280"/>
      <c r="C49" s="277"/>
      <c r="D49" s="278"/>
      <c r="E49" s="683"/>
      <c r="F49" s="279"/>
      <c r="G49" s="697">
        <f>SUM(G47:G48)</f>
        <v>23</v>
      </c>
    </row>
    <row r="50" spans="2:7" s="606" customFormat="1">
      <c r="B50" s="643" t="s">
        <v>1125</v>
      </c>
      <c r="C50" s="277"/>
      <c r="D50" s="278"/>
      <c r="E50" s="683"/>
      <c r="F50" s="279"/>
    </row>
    <row r="51" spans="2:7" s="606" customFormat="1">
      <c r="B51" s="280" t="s">
        <v>1200</v>
      </c>
      <c r="C51" s="277"/>
      <c r="D51" s="278"/>
      <c r="E51" s="683"/>
      <c r="F51" s="279"/>
    </row>
    <row r="52" spans="2:7" s="606" customFormat="1">
      <c r="B52" s="280" t="s">
        <v>1201</v>
      </c>
      <c r="C52" s="277"/>
      <c r="D52" s="278"/>
      <c r="E52" s="683"/>
      <c r="F52" s="279"/>
    </row>
    <row r="53" spans="2:7" s="606" customFormat="1">
      <c r="B53" s="280"/>
      <c r="C53" s="277"/>
      <c r="D53" s="278"/>
      <c r="E53" s="683"/>
      <c r="F53" s="279"/>
    </row>
    <row r="54" spans="2:7">
      <c r="B54" s="423"/>
      <c r="C54" s="424"/>
      <c r="D54" s="425"/>
      <c r="E54" s="426"/>
      <c r="F54" s="427"/>
      <c r="G54" s="606"/>
    </row>
    <row r="55" spans="2:7">
      <c r="B55" s="795" t="s">
        <v>1128</v>
      </c>
      <c r="C55" s="795"/>
      <c r="D55" s="795"/>
      <c r="E55" s="649"/>
      <c r="F55" s="649"/>
      <c r="G55" s="606"/>
    </row>
    <row r="56" spans="2:7" ht="25">
      <c r="B56" s="417" t="s">
        <v>901</v>
      </c>
      <c r="C56" s="417" t="s">
        <v>902</v>
      </c>
      <c r="D56" s="417" t="s">
        <v>903</v>
      </c>
      <c r="E56" s="648"/>
      <c r="F56" s="606"/>
      <c r="G56" s="606"/>
    </row>
    <row r="57" spans="2:7" ht="17.5" customHeight="1">
      <c r="B57" s="644" t="s">
        <v>1053</v>
      </c>
      <c r="C57" s="645" t="s">
        <v>1074</v>
      </c>
      <c r="D57" s="647">
        <v>2022</v>
      </c>
      <c r="E57" s="424"/>
      <c r="F57" s="606"/>
      <c r="G57" s="606"/>
    </row>
    <row r="58" spans="2:7">
      <c r="B58" s="644" t="s">
        <v>1053</v>
      </c>
      <c r="C58" s="645" t="s">
        <v>1075</v>
      </c>
      <c r="D58" s="647">
        <v>2023</v>
      </c>
      <c r="E58" s="424"/>
      <c r="F58" s="606"/>
      <c r="G58" s="606"/>
    </row>
    <row r="59" spans="2:7">
      <c r="B59" s="644" t="s">
        <v>1053</v>
      </c>
      <c r="C59" s="645" t="s">
        <v>1076</v>
      </c>
      <c r="D59" s="647" t="s">
        <v>1202</v>
      </c>
      <c r="E59" s="424"/>
      <c r="F59" s="606"/>
      <c r="G59" s="606"/>
    </row>
    <row r="60" spans="2:7">
      <c r="B60" s="644" t="s">
        <v>1053</v>
      </c>
      <c r="C60" s="645" t="s">
        <v>1126</v>
      </c>
      <c r="D60" s="647">
        <v>2025</v>
      </c>
      <c r="E60" s="424"/>
      <c r="F60" s="606"/>
      <c r="G60" s="606"/>
    </row>
    <row r="61" spans="2:7">
      <c r="B61" s="644" t="s">
        <v>1053</v>
      </c>
      <c r="C61" s="645" t="s">
        <v>1127</v>
      </c>
      <c r="D61" s="647">
        <v>2023</v>
      </c>
      <c r="E61" s="424"/>
      <c r="F61" s="606"/>
      <c r="G61" s="606"/>
    </row>
    <row r="62" spans="2:7">
      <c r="B62" s="646" t="s">
        <v>1055</v>
      </c>
      <c r="C62" s="645" t="s">
        <v>1078</v>
      </c>
      <c r="D62" s="647">
        <v>2022</v>
      </c>
      <c r="E62" s="424"/>
      <c r="F62" s="606"/>
      <c r="G62" s="606"/>
    </row>
    <row r="63" spans="2:7">
      <c r="B63" s="644" t="s">
        <v>1054</v>
      </c>
      <c r="C63" s="645" t="s">
        <v>1077</v>
      </c>
      <c r="D63" s="647">
        <v>2023</v>
      </c>
      <c r="E63" s="424"/>
    </row>
    <row r="64" spans="2:7">
      <c r="B64" s="646" t="s">
        <v>1056</v>
      </c>
      <c r="C64" s="645" t="s">
        <v>1079</v>
      </c>
      <c r="D64" s="647">
        <v>2023</v>
      </c>
      <c r="E64" s="424"/>
    </row>
    <row r="65" spans="2:7">
      <c r="B65" s="646" t="s">
        <v>1057</v>
      </c>
      <c r="C65" s="645" t="s">
        <v>899</v>
      </c>
      <c r="D65" s="647">
        <v>2023</v>
      </c>
      <c r="E65" s="599"/>
    </row>
    <row r="66" spans="2:7" s="606" customFormat="1">
      <c r="B66" s="646" t="s">
        <v>1057</v>
      </c>
      <c r="C66" s="645" t="s">
        <v>1203</v>
      </c>
      <c r="D66" s="647">
        <v>2023</v>
      </c>
      <c r="E66" s="599"/>
    </row>
    <row r="67" spans="2:7" s="606" customFormat="1">
      <c r="B67" s="646" t="s">
        <v>1053</v>
      </c>
      <c r="C67" s="645" t="s">
        <v>1204</v>
      </c>
      <c r="D67" s="647">
        <v>2022</v>
      </c>
      <c r="E67" s="599"/>
    </row>
    <row r="68" spans="2:7">
      <c r="E68" s="606"/>
      <c r="F68" s="606"/>
      <c r="G68" s="606"/>
    </row>
  </sheetData>
  <mergeCells count="8">
    <mergeCell ref="B35:B41"/>
    <mergeCell ref="B55:D55"/>
    <mergeCell ref="B7:G7"/>
    <mergeCell ref="B9:B11"/>
    <mergeCell ref="B13:B22"/>
    <mergeCell ref="B23:B27"/>
    <mergeCell ref="B28:B34"/>
    <mergeCell ref="B46:G46"/>
  </mergeCells>
  <hyperlinks>
    <hyperlink ref="A1" location="Contenido!A1" display="Volver al Contenido" xr:uid="{B84E0C2F-D3BB-46C0-B150-7B1305069867}"/>
  </hyperlinks>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05F59-7740-40B1-9616-9684DB9BC685}">
  <dimension ref="A1:G36"/>
  <sheetViews>
    <sheetView showGridLines="0" workbookViewId="0"/>
  </sheetViews>
  <sheetFormatPr baseColWidth="10" defaultColWidth="10.81640625" defaultRowHeight="14"/>
  <cols>
    <col min="1" max="1" width="10.81640625" style="5"/>
    <col min="2" max="2" width="29.453125" style="5" bestFit="1" customWidth="1"/>
    <col min="3" max="3" width="35.1796875" style="5" customWidth="1"/>
    <col min="4" max="5" width="10.81640625" style="5"/>
    <col min="6" max="6" width="20.90625" style="5" customWidth="1"/>
    <col min="7" max="7" width="18.26953125" style="5" bestFit="1" customWidth="1"/>
    <col min="8" max="16384" width="10.81640625" style="5"/>
  </cols>
  <sheetData>
    <row r="1" spans="1:7">
      <c r="A1" s="4" t="s">
        <v>16</v>
      </c>
    </row>
    <row r="4" spans="1:7" ht="17.5" customHeight="1">
      <c r="B4" s="743" t="s">
        <v>947</v>
      </c>
      <c r="F4" s="743" t="s">
        <v>1234</v>
      </c>
    </row>
    <row r="5" spans="1:7" s="53" customFormat="1" ht="9" customHeight="1">
      <c r="B5" s="744"/>
      <c r="C5" s="744"/>
    </row>
    <row r="6" spans="1:7" ht="17.5" customHeight="1">
      <c r="B6" s="586" t="s">
        <v>959</v>
      </c>
      <c r="C6" s="587" t="s">
        <v>948</v>
      </c>
      <c r="F6" s="586" t="s">
        <v>412</v>
      </c>
      <c r="G6" s="587" t="s">
        <v>948</v>
      </c>
    </row>
    <row r="7" spans="1:7">
      <c r="B7" s="582" t="s">
        <v>8</v>
      </c>
      <c r="C7" s="583">
        <v>2032</v>
      </c>
      <c r="F7" s="582" t="s">
        <v>748</v>
      </c>
      <c r="G7" s="750" t="s">
        <v>1242</v>
      </c>
    </row>
    <row r="8" spans="1:7" ht="26.15" customHeight="1">
      <c r="B8" s="672" t="s">
        <v>376</v>
      </c>
      <c r="C8" s="674" t="s">
        <v>949</v>
      </c>
      <c r="F8" s="582" t="s">
        <v>1235</v>
      </c>
      <c r="G8" s="750" t="s">
        <v>1244</v>
      </c>
    </row>
    <row r="9" spans="1:7" ht="26.15" customHeight="1">
      <c r="B9" s="745" t="s">
        <v>9</v>
      </c>
      <c r="C9" s="675" t="s">
        <v>1066</v>
      </c>
      <c r="F9" s="582" t="s">
        <v>754</v>
      </c>
      <c r="G9" s="750" t="s">
        <v>1243</v>
      </c>
    </row>
    <row r="10" spans="1:7">
      <c r="B10" s="746" t="s">
        <v>1144</v>
      </c>
      <c r="C10" s="676" t="s">
        <v>1145</v>
      </c>
      <c r="F10" s="582" t="s">
        <v>751</v>
      </c>
      <c r="G10" s="750" t="s">
        <v>1241</v>
      </c>
    </row>
    <row r="11" spans="1:7" ht="31" customHeight="1">
      <c r="B11" s="673" t="s">
        <v>598</v>
      </c>
      <c r="C11" s="671" t="s">
        <v>950</v>
      </c>
      <c r="F11" s="751" t="s">
        <v>760</v>
      </c>
      <c r="G11" s="750" t="s">
        <v>1245</v>
      </c>
    </row>
    <row r="12" spans="1:7" s="63" customFormat="1" ht="14.15" customHeight="1">
      <c r="B12" s="747"/>
      <c r="C12" s="742"/>
      <c r="D12" s="5"/>
      <c r="E12" s="5"/>
      <c r="F12" s="5"/>
      <c r="G12" s="5"/>
    </row>
    <row r="13" spans="1:7" ht="31" customHeight="1">
      <c r="B13" s="586" t="s">
        <v>408</v>
      </c>
      <c r="C13" s="587" t="s">
        <v>948</v>
      </c>
      <c r="F13" s="586" t="s">
        <v>402</v>
      </c>
      <c r="G13" s="587" t="s">
        <v>948</v>
      </c>
    </row>
    <row r="14" spans="1:7" ht="28" customHeight="1">
      <c r="B14" s="582" t="s">
        <v>960</v>
      </c>
      <c r="C14" s="584" t="s">
        <v>951</v>
      </c>
      <c r="F14" s="582" t="s">
        <v>1236</v>
      </c>
      <c r="G14" s="750" t="s">
        <v>1246</v>
      </c>
    </row>
    <row r="15" spans="1:7">
      <c r="B15" s="582" t="s">
        <v>380</v>
      </c>
      <c r="C15" s="583">
        <v>2042</v>
      </c>
    </row>
    <row r="16" spans="1:7">
      <c r="B16" s="585" t="s">
        <v>952</v>
      </c>
      <c r="C16" s="583">
        <v>2039</v>
      </c>
    </row>
    <row r="17" spans="2:3">
      <c r="B17" s="585" t="s">
        <v>381</v>
      </c>
      <c r="C17" s="583">
        <v>2050</v>
      </c>
    </row>
    <row r="18" spans="2:3">
      <c r="B18" s="585" t="s">
        <v>383</v>
      </c>
      <c r="C18" s="748">
        <v>2038</v>
      </c>
    </row>
    <row r="19" spans="2:3">
      <c r="B19" s="585" t="s">
        <v>953</v>
      </c>
      <c r="C19" s="583">
        <v>2041</v>
      </c>
    </row>
    <row r="20" spans="2:3">
      <c r="B20" s="585" t="s">
        <v>954</v>
      </c>
      <c r="C20" s="583">
        <f>+C19</f>
        <v>2041</v>
      </c>
    </row>
    <row r="21" spans="2:3">
      <c r="B21" s="585" t="s">
        <v>955</v>
      </c>
      <c r="C21" s="583">
        <v>2050</v>
      </c>
    </row>
    <row r="22" spans="2:3">
      <c r="B22" s="585" t="s">
        <v>1098</v>
      </c>
      <c r="C22" s="583">
        <v>2046</v>
      </c>
    </row>
    <row r="23" spans="2:3">
      <c r="B23" s="585" t="s">
        <v>1093</v>
      </c>
      <c r="C23" s="583">
        <v>2047</v>
      </c>
    </row>
    <row r="24" spans="2:3">
      <c r="B24" s="585" t="s">
        <v>956</v>
      </c>
      <c r="C24" s="583">
        <v>2050</v>
      </c>
    </row>
    <row r="25" spans="2:3">
      <c r="B25" s="585" t="s">
        <v>1097</v>
      </c>
      <c r="C25" s="583">
        <v>2047</v>
      </c>
    </row>
    <row r="26" spans="2:3">
      <c r="B26" s="585" t="s">
        <v>1094</v>
      </c>
      <c r="C26" s="583">
        <v>2048</v>
      </c>
    </row>
    <row r="27" spans="2:3">
      <c r="B27" s="585" t="s">
        <v>1095</v>
      </c>
      <c r="C27" s="583">
        <v>2047</v>
      </c>
    </row>
    <row r="28" spans="2:3">
      <c r="B28" s="585" t="s">
        <v>1092</v>
      </c>
      <c r="C28" s="583">
        <v>2048</v>
      </c>
    </row>
    <row r="29" spans="2:3">
      <c r="B29" s="585" t="s">
        <v>1096</v>
      </c>
      <c r="C29" s="583">
        <v>2051</v>
      </c>
    </row>
    <row r="30" spans="2:3">
      <c r="B30" s="585" t="s">
        <v>957</v>
      </c>
      <c r="C30" s="583">
        <v>2039</v>
      </c>
    </row>
    <row r="31" spans="2:3">
      <c r="B31" s="585" t="s">
        <v>958</v>
      </c>
      <c r="C31" s="583">
        <v>2041</v>
      </c>
    </row>
    <row r="32" spans="2:3">
      <c r="B32" s="585" t="s">
        <v>1099</v>
      </c>
      <c r="C32" s="583">
        <v>2047</v>
      </c>
    </row>
    <row r="33" spans="2:3">
      <c r="B33" s="585" t="s">
        <v>1100</v>
      </c>
      <c r="C33" s="583">
        <v>2047</v>
      </c>
    </row>
    <row r="34" spans="2:3">
      <c r="B34" s="585" t="s">
        <v>1101</v>
      </c>
      <c r="C34" s="583">
        <v>2047</v>
      </c>
    </row>
    <row r="35" spans="2:3">
      <c r="B35" s="585" t="s">
        <v>1239</v>
      </c>
      <c r="C35" s="583">
        <v>2052</v>
      </c>
    </row>
    <row r="36" spans="2:3">
      <c r="B36" s="585" t="s">
        <v>1240</v>
      </c>
      <c r="C36" s="583">
        <v>2052</v>
      </c>
    </row>
  </sheetData>
  <hyperlinks>
    <hyperlink ref="A1" location="Contenido!A1" display="Volver al Contenido" xr:uid="{B7D76DE4-508F-4655-A73A-A166175E558B}"/>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dimension ref="A1:AQ113"/>
  <sheetViews>
    <sheetView showGridLines="0" zoomScale="92" zoomScaleNormal="92" workbookViewId="0">
      <pane xSplit="2" ySplit="7" topLeftCell="V8" activePane="bottomRight" state="frozen"/>
      <selection pane="topRight" activeCell="C1" sqref="C1"/>
      <selection pane="bottomLeft" activeCell="A7" sqref="A7"/>
      <selection pane="bottomRight" activeCell="W10" sqref="W10"/>
    </sheetView>
  </sheetViews>
  <sheetFormatPr baseColWidth="10" defaultColWidth="10.81640625" defaultRowHeight="14.5"/>
  <cols>
    <col min="1" max="1" width="4.54296875" style="5" customWidth="1"/>
    <col min="2" max="2" width="67.453125" style="5" customWidth="1"/>
    <col min="3" max="14" width="15.1796875" style="5" customWidth="1"/>
    <col min="15" max="15" width="15" style="5" customWidth="1"/>
    <col min="16" max="17" width="14.453125" customWidth="1"/>
    <col min="18" max="18" width="14.453125" style="46" customWidth="1"/>
    <col min="19" max="20" width="15.26953125" bestFit="1" customWidth="1"/>
    <col min="21" max="21" width="3.7265625" customWidth="1"/>
    <col min="22" max="22" width="60.453125" bestFit="1" customWidth="1"/>
    <col min="23" max="23" width="15.26953125" bestFit="1" customWidth="1"/>
    <col min="24" max="24" width="15.26953125" style="46" bestFit="1" customWidth="1"/>
    <col min="41" max="41" width="12.453125" bestFit="1" customWidth="1"/>
    <col min="44" max="16384" width="10.81640625" style="5"/>
  </cols>
  <sheetData>
    <row r="1" spans="1:43">
      <c r="A1" s="4" t="s">
        <v>16</v>
      </c>
    </row>
    <row r="3" spans="1:43" ht="15.5">
      <c r="B3" s="12" t="s">
        <v>17</v>
      </c>
      <c r="C3" s="6"/>
      <c r="D3" s="6"/>
      <c r="E3" s="7"/>
      <c r="F3" s="6"/>
      <c r="G3" s="6"/>
      <c r="H3" s="6"/>
      <c r="I3" s="7"/>
      <c r="J3" s="6"/>
      <c r="K3" s="6"/>
      <c r="L3" s="6"/>
      <c r="M3" s="7"/>
      <c r="N3" s="6"/>
    </row>
    <row r="4" spans="1:43" ht="15">
      <c r="B4" s="14" t="s">
        <v>18</v>
      </c>
      <c r="C4" s="8"/>
      <c r="D4" s="8"/>
      <c r="E4" s="8"/>
      <c r="F4" s="8"/>
      <c r="G4" s="8"/>
      <c r="H4" s="8"/>
      <c r="I4" s="8"/>
      <c r="J4" s="8"/>
      <c r="K4" s="8"/>
      <c r="L4" s="8"/>
      <c r="M4" s="8"/>
      <c r="N4" s="8"/>
    </row>
    <row r="5" spans="1:43" ht="15">
      <c r="B5" s="14"/>
      <c r="C5" s="8"/>
      <c r="D5" s="8"/>
      <c r="E5" s="8"/>
      <c r="F5" s="8"/>
      <c r="G5" s="8"/>
      <c r="H5" s="8"/>
      <c r="I5" s="8"/>
      <c r="J5" s="8"/>
      <c r="K5" s="8"/>
      <c r="L5" s="8"/>
      <c r="M5" s="8"/>
      <c r="N5" s="8"/>
      <c r="P5" s="46"/>
      <c r="Q5" s="46"/>
      <c r="S5" s="46"/>
      <c r="T5" s="46"/>
      <c r="U5" s="46"/>
      <c r="V5" s="46"/>
      <c r="W5" s="46"/>
      <c r="Y5" s="46"/>
      <c r="Z5" s="46"/>
      <c r="AA5" s="46"/>
      <c r="AB5" s="46"/>
      <c r="AC5" s="46"/>
      <c r="AD5" s="46"/>
      <c r="AE5" s="46"/>
      <c r="AF5" s="46"/>
      <c r="AG5" s="46"/>
      <c r="AH5" s="46"/>
      <c r="AI5" s="46"/>
      <c r="AJ5" s="46"/>
      <c r="AK5" s="46"/>
      <c r="AL5" s="46"/>
      <c r="AM5" s="46"/>
      <c r="AN5" s="46"/>
      <c r="AO5" s="46"/>
      <c r="AP5" s="46"/>
      <c r="AQ5" s="46"/>
    </row>
    <row r="6" spans="1:43" ht="15.5">
      <c r="B6" s="9"/>
      <c r="C6" s="9"/>
      <c r="D6" s="9"/>
      <c r="E6" s="9"/>
      <c r="F6" s="9"/>
      <c r="G6" s="9"/>
      <c r="H6" s="9"/>
      <c r="I6" s="9"/>
      <c r="J6" s="9"/>
      <c r="K6" s="9"/>
      <c r="L6" s="9"/>
      <c r="M6" s="9"/>
      <c r="N6" s="9"/>
    </row>
    <row r="7" spans="1:43" ht="15">
      <c r="B7" s="81"/>
      <c r="C7" s="31">
        <v>2016</v>
      </c>
      <c r="D7" s="31">
        <v>2017</v>
      </c>
      <c r="E7" s="31" t="s">
        <v>19</v>
      </c>
      <c r="F7" s="31" t="s">
        <v>20</v>
      </c>
      <c r="G7" s="31" t="s">
        <v>21</v>
      </c>
      <c r="H7" s="31" t="s">
        <v>22</v>
      </c>
      <c r="I7" s="31" t="s">
        <v>23</v>
      </c>
      <c r="J7" s="31" t="s">
        <v>24</v>
      </c>
      <c r="K7" s="31" t="s">
        <v>25</v>
      </c>
      <c r="L7" s="31" t="s">
        <v>26</v>
      </c>
      <c r="M7" s="31" t="s">
        <v>27</v>
      </c>
      <c r="N7" s="31" t="s">
        <v>28</v>
      </c>
      <c r="O7" s="31" t="s">
        <v>29</v>
      </c>
      <c r="P7" s="31" t="s">
        <v>722</v>
      </c>
      <c r="Q7" s="31" t="s">
        <v>739</v>
      </c>
      <c r="R7" s="31" t="s">
        <v>912</v>
      </c>
      <c r="S7" s="31" t="s">
        <v>1051</v>
      </c>
      <c r="T7" s="31" t="s">
        <v>1089</v>
      </c>
      <c r="W7" s="31" t="s">
        <v>1112</v>
      </c>
      <c r="X7" s="31" t="s">
        <v>1190</v>
      </c>
    </row>
    <row r="8" spans="1:43" ht="15.5">
      <c r="B8" s="82"/>
      <c r="C8" s="45"/>
      <c r="D8" s="45"/>
      <c r="E8" s="45"/>
      <c r="F8" s="45"/>
      <c r="G8" s="45"/>
      <c r="H8" s="45"/>
      <c r="I8" s="45"/>
      <c r="J8" s="45"/>
      <c r="K8" s="45"/>
      <c r="L8" s="45"/>
      <c r="M8" s="636"/>
      <c r="N8" s="636"/>
      <c r="O8" s="636"/>
      <c r="P8" s="636"/>
      <c r="S8" s="46"/>
    </row>
    <row r="9" spans="1:43" ht="15.5">
      <c r="B9" s="83" t="s">
        <v>30</v>
      </c>
      <c r="C9" s="10">
        <v>1303189</v>
      </c>
      <c r="D9" s="10">
        <v>777045</v>
      </c>
      <c r="E9" s="10">
        <v>151913</v>
      </c>
      <c r="F9" s="10">
        <v>174569</v>
      </c>
      <c r="G9" s="10">
        <v>145130</v>
      </c>
      <c r="H9" s="10">
        <v>519400</v>
      </c>
      <c r="I9" s="10">
        <v>222479</v>
      </c>
      <c r="J9" s="10">
        <v>368582</v>
      </c>
      <c r="K9" s="10">
        <v>330344</v>
      </c>
      <c r="L9" s="10">
        <v>519864</v>
      </c>
      <c r="M9" s="10">
        <f>315675+35575</f>
        <v>351250</v>
      </c>
      <c r="N9" s="10">
        <f>392306+48091</f>
        <v>440397</v>
      </c>
      <c r="O9" s="10">
        <v>653454</v>
      </c>
      <c r="P9" s="10">
        <f>2194300-O9-N9-M9</f>
        <v>749199</v>
      </c>
      <c r="Q9" s="10">
        <v>428145</v>
      </c>
      <c r="R9" s="10">
        <v>545032</v>
      </c>
      <c r="S9" s="10">
        <v>536798</v>
      </c>
      <c r="T9" s="10">
        <v>624565</v>
      </c>
      <c r="V9" s="83" t="s">
        <v>30</v>
      </c>
      <c r="W9" s="10">
        <v>457615</v>
      </c>
      <c r="X9" s="10">
        <f>+[37]EEFF_Consolidados!X9</f>
        <v>688018</v>
      </c>
    </row>
    <row r="10" spans="1:43" ht="15.5">
      <c r="B10" s="83" t="s">
        <v>31</v>
      </c>
      <c r="C10" s="10">
        <v>1259856</v>
      </c>
      <c r="D10" s="10">
        <v>751031</v>
      </c>
      <c r="E10" s="10">
        <v>143392</v>
      </c>
      <c r="F10" s="10">
        <v>168951</v>
      </c>
      <c r="G10" s="10">
        <v>134987</v>
      </c>
      <c r="H10" s="10">
        <v>209921</v>
      </c>
      <c r="I10" s="10">
        <v>134437</v>
      </c>
      <c r="J10" s="10">
        <v>206523</v>
      </c>
      <c r="K10" s="10">
        <v>241195</v>
      </c>
      <c r="L10" s="10">
        <v>373468</v>
      </c>
      <c r="M10" s="10">
        <v>296938</v>
      </c>
      <c r="N10" s="10">
        <v>372794</v>
      </c>
      <c r="O10" s="10">
        <v>473739</v>
      </c>
      <c r="P10" s="10">
        <f>1628854-O10-N10-M10</f>
        <v>485383</v>
      </c>
      <c r="Q10" s="10">
        <v>375369</v>
      </c>
      <c r="R10" s="10">
        <v>463710</v>
      </c>
      <c r="S10" s="10">
        <v>485039</v>
      </c>
      <c r="T10" s="10">
        <v>560602</v>
      </c>
      <c r="V10" s="83" t="s">
        <v>31</v>
      </c>
      <c r="W10" s="10">
        <v>419155</v>
      </c>
      <c r="X10" s="10">
        <f>+[37]EEFF_Consolidados!X10</f>
        <v>634626</v>
      </c>
    </row>
    <row r="11" spans="1:43" ht="15.5">
      <c r="B11" s="142" t="s">
        <v>32</v>
      </c>
      <c r="C11" s="11">
        <v>43333</v>
      </c>
      <c r="D11" s="11">
        <v>26014</v>
      </c>
      <c r="E11" s="11">
        <v>8521</v>
      </c>
      <c r="F11" s="11">
        <v>5618</v>
      </c>
      <c r="G11" s="11">
        <v>10143</v>
      </c>
      <c r="H11" s="11">
        <v>309479</v>
      </c>
      <c r="I11" s="11">
        <v>88042</v>
      </c>
      <c r="J11" s="11">
        <v>162059</v>
      </c>
      <c r="K11" s="11">
        <v>89149</v>
      </c>
      <c r="L11" s="11">
        <v>146396</v>
      </c>
      <c r="M11" s="11">
        <f t="shared" ref="M11:O11" si="0">+M9-M10</f>
        <v>54312</v>
      </c>
      <c r="N11" s="11">
        <f t="shared" si="0"/>
        <v>67603</v>
      </c>
      <c r="O11" s="11">
        <f t="shared" si="0"/>
        <v>179715</v>
      </c>
      <c r="P11" s="11">
        <f>+P9-P10</f>
        <v>263816</v>
      </c>
      <c r="Q11" s="11">
        <f>+Q9-Q10</f>
        <v>52776</v>
      </c>
      <c r="R11" s="11">
        <v>81322</v>
      </c>
      <c r="S11" s="11">
        <f>+S9-S10</f>
        <v>51759</v>
      </c>
      <c r="T11" s="11">
        <v>63963</v>
      </c>
      <c r="V11" s="142" t="s">
        <v>1129</v>
      </c>
      <c r="W11" s="11">
        <v>38460</v>
      </c>
      <c r="X11" s="11">
        <f>+[37]EEFF_Consolidados!X11</f>
        <v>53392</v>
      </c>
    </row>
    <row r="12" spans="1:43" ht="15.5">
      <c r="B12" s="83"/>
      <c r="C12" s="10"/>
      <c r="D12" s="10"/>
      <c r="E12" s="10"/>
      <c r="F12" s="10"/>
      <c r="G12" s="10"/>
      <c r="H12" s="10"/>
      <c r="I12" s="10"/>
      <c r="J12" s="10"/>
      <c r="K12" s="10"/>
      <c r="L12" s="10"/>
      <c r="M12" s="10"/>
      <c r="N12" s="10"/>
      <c r="O12" s="10"/>
      <c r="P12" s="10"/>
      <c r="Q12" s="10"/>
      <c r="R12" s="10">
        <v>0</v>
      </c>
      <c r="S12" s="10"/>
      <c r="T12" s="10"/>
      <c r="V12" s="83"/>
      <c r="W12" s="10"/>
      <c r="X12" s="10">
        <f>+[37]EEFF_Consolidados!X12</f>
        <v>0</v>
      </c>
    </row>
    <row r="13" spans="1:43" ht="15.5">
      <c r="B13" s="83" t="s">
        <v>33</v>
      </c>
      <c r="C13" s="10">
        <v>8738226</v>
      </c>
      <c r="D13" s="10">
        <v>4335715</v>
      </c>
      <c r="E13" s="10">
        <v>969721</v>
      </c>
      <c r="F13" s="10">
        <v>910044</v>
      </c>
      <c r="G13" s="10">
        <v>1378425</v>
      </c>
      <c r="H13" s="10">
        <v>1144556</v>
      </c>
      <c r="I13" s="10">
        <v>1140208</v>
      </c>
      <c r="J13" s="10">
        <v>1258709</v>
      </c>
      <c r="K13" s="10">
        <v>1158653</v>
      </c>
      <c r="L13" s="10">
        <v>1225917</v>
      </c>
      <c r="M13" s="10">
        <f>1307469+1300</f>
        <v>1308769</v>
      </c>
      <c r="N13" s="10">
        <f>1810003+2164</f>
        <v>1812167</v>
      </c>
      <c r="O13" s="10">
        <f>1319884+227472</f>
        <v>1547356</v>
      </c>
      <c r="P13" s="10">
        <f>4915021+1056979-O13-N13-M13</f>
        <v>1303708</v>
      </c>
      <c r="Q13" s="10">
        <v>1372599</v>
      </c>
      <c r="R13" s="10">
        <v>1682664</v>
      </c>
      <c r="S13" s="10">
        <v>1757977</v>
      </c>
      <c r="T13" s="10">
        <v>1765161</v>
      </c>
      <c r="V13" s="83" t="s">
        <v>33</v>
      </c>
      <c r="W13" s="10">
        <v>1693554</v>
      </c>
      <c r="X13" s="10">
        <f>+[37]EEFF_Consolidados!X13</f>
        <v>1917102</v>
      </c>
    </row>
    <row r="14" spans="1:43" ht="15.5">
      <c r="B14" s="83" t="s">
        <v>34</v>
      </c>
      <c r="C14" s="10">
        <v>211553</v>
      </c>
      <c r="D14" s="10">
        <v>223979</v>
      </c>
      <c r="E14" s="10">
        <v>56086</v>
      </c>
      <c r="F14" s="10">
        <v>57126</v>
      </c>
      <c r="G14" s="10">
        <v>59056</v>
      </c>
      <c r="H14" s="10">
        <v>60620</v>
      </c>
      <c r="I14" s="10">
        <v>58700</v>
      </c>
      <c r="J14" s="10">
        <v>60150</v>
      </c>
      <c r="K14" s="10">
        <v>62983</v>
      </c>
      <c r="L14" s="10">
        <v>61922</v>
      </c>
      <c r="M14" s="10">
        <v>62775</v>
      </c>
      <c r="N14" s="10">
        <v>63492</v>
      </c>
      <c r="O14" s="10">
        <v>65946</v>
      </c>
      <c r="P14" s="10">
        <f>260201-O14-N14-M14</f>
        <v>67988</v>
      </c>
      <c r="Q14" s="10">
        <v>66956</v>
      </c>
      <c r="R14" s="10">
        <v>69589</v>
      </c>
      <c r="S14" s="10">
        <v>72081</v>
      </c>
      <c r="T14" s="10">
        <v>75427</v>
      </c>
      <c r="V14" s="83" t="s">
        <v>34</v>
      </c>
      <c r="W14" s="10">
        <v>128379</v>
      </c>
      <c r="X14" s="10">
        <f>+[37]EEFF_Consolidados!X14</f>
        <v>134902</v>
      </c>
    </row>
    <row r="15" spans="1:43" ht="15.5">
      <c r="B15" s="83" t="s">
        <v>35</v>
      </c>
      <c r="C15" s="10">
        <v>1126331</v>
      </c>
      <c r="D15" s="10">
        <v>1088430</v>
      </c>
      <c r="E15" s="10">
        <v>265986</v>
      </c>
      <c r="F15" s="10">
        <v>253788</v>
      </c>
      <c r="G15" s="10">
        <v>230163</v>
      </c>
      <c r="H15" s="10">
        <v>265923</v>
      </c>
      <c r="I15" s="10">
        <v>261113</v>
      </c>
      <c r="J15" s="10">
        <v>272995</v>
      </c>
      <c r="K15" s="10">
        <v>274916</v>
      </c>
      <c r="L15" s="10">
        <v>280055</v>
      </c>
      <c r="M15" s="10">
        <v>238508</v>
      </c>
      <c r="N15" s="10">
        <v>261797</v>
      </c>
      <c r="O15" s="10">
        <v>253735</v>
      </c>
      <c r="P15" s="10">
        <f>1120376-O15-N15-M15</f>
        <v>366336</v>
      </c>
      <c r="Q15" s="10">
        <v>342795</v>
      </c>
      <c r="R15" s="10">
        <v>337183</v>
      </c>
      <c r="S15" s="10">
        <v>337274</v>
      </c>
      <c r="T15" s="10">
        <v>426422</v>
      </c>
      <c r="V15" s="83" t="s">
        <v>35</v>
      </c>
      <c r="W15" s="10">
        <v>361441</v>
      </c>
      <c r="X15" s="10">
        <f>+[37]EEFF_Consolidados!X15</f>
        <v>374181</v>
      </c>
    </row>
    <row r="16" spans="1:43" ht="15.5">
      <c r="B16" s="83" t="s">
        <v>36</v>
      </c>
      <c r="C16" s="10">
        <v>75112</v>
      </c>
      <c r="D16" s="10">
        <v>83402</v>
      </c>
      <c r="E16" s="10">
        <v>21235</v>
      </c>
      <c r="F16" s="10">
        <v>21477</v>
      </c>
      <c r="G16" s="10">
        <v>21604</v>
      </c>
      <c r="H16" s="10">
        <v>21653</v>
      </c>
      <c r="I16" s="10">
        <v>22759</v>
      </c>
      <c r="J16" s="10">
        <v>23083</v>
      </c>
      <c r="K16" s="10">
        <v>23273</v>
      </c>
      <c r="L16" s="10">
        <v>23398</v>
      </c>
      <c r="M16" s="10">
        <v>25324</v>
      </c>
      <c r="N16" s="10">
        <v>25662</v>
      </c>
      <c r="O16" s="10">
        <v>25439</v>
      </c>
      <c r="P16" s="10">
        <f>101969-O16-N16-M16</f>
        <v>25544</v>
      </c>
      <c r="Q16" s="10">
        <v>29356</v>
      </c>
      <c r="R16" s="10">
        <v>29906</v>
      </c>
      <c r="S16" s="10">
        <v>30255</v>
      </c>
      <c r="T16" s="10">
        <v>30558</v>
      </c>
      <c r="V16" s="83" t="s">
        <v>36</v>
      </c>
      <c r="W16" s="10">
        <v>0</v>
      </c>
      <c r="X16" s="10">
        <f>+[37]EEFF_Consolidados!X16</f>
        <v>0</v>
      </c>
    </row>
    <row r="17" spans="2:24" ht="15.5">
      <c r="B17" s="83" t="s">
        <v>37</v>
      </c>
      <c r="C17" s="10">
        <v>39625</v>
      </c>
      <c r="D17" s="10">
        <v>32644</v>
      </c>
      <c r="E17" s="10">
        <v>7275</v>
      </c>
      <c r="F17" s="10">
        <v>10330</v>
      </c>
      <c r="G17" s="10">
        <v>9911</v>
      </c>
      <c r="H17" s="10">
        <v>13137</v>
      </c>
      <c r="I17" s="10">
        <v>10535</v>
      </c>
      <c r="J17" s="10">
        <v>12341</v>
      </c>
      <c r="K17" s="10">
        <v>13277</v>
      </c>
      <c r="L17" s="10">
        <v>12572</v>
      </c>
      <c r="M17" s="10">
        <v>12167</v>
      </c>
      <c r="N17" s="10">
        <v>13982</v>
      </c>
      <c r="O17" s="10">
        <v>13188</v>
      </c>
      <c r="P17" s="10">
        <f>53754-O17-N17-M17</f>
        <v>14417</v>
      </c>
      <c r="Q17" s="10">
        <v>8270</v>
      </c>
      <c r="R17" s="10">
        <v>10452</v>
      </c>
      <c r="S17" s="10">
        <v>13311</v>
      </c>
      <c r="T17" s="10">
        <v>15028</v>
      </c>
      <c r="V17" s="83" t="s">
        <v>37</v>
      </c>
      <c r="W17" s="10">
        <v>0</v>
      </c>
      <c r="X17" s="10">
        <f>+[37]EEFF_Consolidados!X17</f>
        <v>0</v>
      </c>
    </row>
    <row r="18" spans="2:24" ht="15.5">
      <c r="B18" s="83" t="s">
        <v>38</v>
      </c>
      <c r="C18" s="10">
        <v>337167</v>
      </c>
      <c r="D18" s="10">
        <v>345386</v>
      </c>
      <c r="E18" s="10">
        <v>80606</v>
      </c>
      <c r="F18" s="10">
        <v>80373</v>
      </c>
      <c r="G18" s="10">
        <v>78648</v>
      </c>
      <c r="H18" s="10">
        <v>85095</v>
      </c>
      <c r="I18" s="10">
        <v>82804</v>
      </c>
      <c r="J18" s="10">
        <v>87319</v>
      </c>
      <c r="K18" s="10">
        <v>87360</v>
      </c>
      <c r="L18" s="10">
        <v>101557</v>
      </c>
      <c r="M18" s="10">
        <v>90327</v>
      </c>
      <c r="N18" s="10">
        <v>96428</v>
      </c>
      <c r="O18" s="10">
        <v>96017</v>
      </c>
      <c r="P18" s="10">
        <f>379168-O18-N18-M18</f>
        <v>96396</v>
      </c>
      <c r="Q18" s="10">
        <v>97795</v>
      </c>
      <c r="R18" s="10">
        <v>103859</v>
      </c>
      <c r="S18" s="10">
        <v>104910</v>
      </c>
      <c r="T18" s="10">
        <v>107750</v>
      </c>
      <c r="V18" s="83" t="s">
        <v>38</v>
      </c>
      <c r="W18" s="10">
        <v>106710</v>
      </c>
      <c r="X18" s="10">
        <f>+[37]EEFF_Consolidados!X18</f>
        <v>111991</v>
      </c>
    </row>
    <row r="19" spans="2:24" ht="15.5">
      <c r="B19" s="83" t="s">
        <v>39</v>
      </c>
      <c r="C19" s="10">
        <v>61423</v>
      </c>
      <c r="D19" s="10">
        <v>67664</v>
      </c>
      <c r="E19" s="10">
        <v>78364</v>
      </c>
      <c r="F19" s="10">
        <v>20591</v>
      </c>
      <c r="G19" s="10">
        <v>22017</v>
      </c>
      <c r="H19" s="10">
        <v>19889</v>
      </c>
      <c r="I19" s="10">
        <v>17567</v>
      </c>
      <c r="J19" s="10">
        <v>18145</v>
      </c>
      <c r="K19" s="10">
        <v>20543</v>
      </c>
      <c r="L19" s="10">
        <v>24885</v>
      </c>
      <c r="M19" s="10">
        <v>17328</v>
      </c>
      <c r="N19" s="10">
        <v>17268</v>
      </c>
      <c r="O19" s="10">
        <v>21536</v>
      </c>
      <c r="P19" s="10">
        <f>86058-O19-N19-M19</f>
        <v>29926</v>
      </c>
      <c r="Q19" s="10">
        <v>19130</v>
      </c>
      <c r="R19" s="10">
        <v>64409</v>
      </c>
      <c r="S19" s="10">
        <f>22225-7939</f>
        <v>14286</v>
      </c>
      <c r="T19" s="10">
        <v>41270</v>
      </c>
      <c r="V19" s="83" t="s">
        <v>39</v>
      </c>
      <c r="W19" s="10">
        <v>18657</v>
      </c>
      <c r="X19" s="10">
        <f>+[37]EEFF_Consolidados!X19</f>
        <v>29765</v>
      </c>
    </row>
    <row r="20" spans="2:24" ht="15.5">
      <c r="B20" s="83" t="s">
        <v>40</v>
      </c>
      <c r="C20" s="10">
        <v>1708947</v>
      </c>
      <c r="D20" s="10">
        <v>1764077</v>
      </c>
      <c r="E20" s="10">
        <v>417515</v>
      </c>
      <c r="F20" s="10">
        <v>413924</v>
      </c>
      <c r="G20" s="10">
        <v>416013</v>
      </c>
      <c r="H20" s="10">
        <v>517759</v>
      </c>
      <c r="I20" s="10">
        <v>454460</v>
      </c>
      <c r="J20" s="10">
        <v>469804</v>
      </c>
      <c r="K20" s="10">
        <v>484688</v>
      </c>
      <c r="L20" s="10">
        <v>488827</v>
      </c>
      <c r="M20" s="10">
        <v>453207</v>
      </c>
      <c r="N20" s="10">
        <f>455659</f>
        <v>455659</v>
      </c>
      <c r="O20" s="10">
        <v>436741</v>
      </c>
      <c r="P20" s="10">
        <f>1965513-O20-N20-M20</f>
        <v>619906</v>
      </c>
      <c r="Q20" s="10">
        <v>483964</v>
      </c>
      <c r="R20" s="10">
        <v>468190</v>
      </c>
      <c r="S20" s="10">
        <v>513930</v>
      </c>
      <c r="T20" s="10">
        <v>689981</v>
      </c>
      <c r="V20" s="83" t="s">
        <v>40</v>
      </c>
      <c r="W20" s="10">
        <v>553420</v>
      </c>
      <c r="X20" s="10">
        <f>+[37]EEFF_Consolidados!X20</f>
        <v>580392</v>
      </c>
    </row>
    <row r="21" spans="2:24" ht="15.5">
      <c r="B21" s="142" t="s">
        <v>41</v>
      </c>
      <c r="C21" s="11">
        <v>8880490</v>
      </c>
      <c r="D21" s="11">
        <v>4413143</v>
      </c>
      <c r="E21" s="11">
        <v>1061758</v>
      </c>
      <c r="F21" s="11">
        <v>939805</v>
      </c>
      <c r="G21" s="11">
        <v>1383811</v>
      </c>
      <c r="H21" s="11">
        <v>1093114</v>
      </c>
      <c r="I21" s="11">
        <v>1139226</v>
      </c>
      <c r="J21" s="11">
        <v>1262938</v>
      </c>
      <c r="K21" s="11">
        <v>1156317</v>
      </c>
      <c r="L21" s="11">
        <v>1241479</v>
      </c>
      <c r="M21" s="11">
        <f t="shared" ref="M21:O21" si="1">+SUM(M13:M19)-M20</f>
        <v>1301991</v>
      </c>
      <c r="N21" s="11">
        <f t="shared" si="1"/>
        <v>1835137</v>
      </c>
      <c r="O21" s="11">
        <f t="shared" si="1"/>
        <v>1586476</v>
      </c>
      <c r="P21" s="11">
        <f>+SUM(P13:P19)-P20</f>
        <v>1284409</v>
      </c>
      <c r="Q21" s="11">
        <f>+SUM(Q13:Q19)-Q20</f>
        <v>1452937</v>
      </c>
      <c r="R21" s="11">
        <v>1829872</v>
      </c>
      <c r="S21" s="11">
        <f t="shared" ref="S21" si="2">+SUM(S13:S19)-S20</f>
        <v>1816164</v>
      </c>
      <c r="T21" s="11">
        <v>1771635</v>
      </c>
      <c r="V21" s="83" t="s">
        <v>43</v>
      </c>
      <c r="W21" s="10">
        <v>275073</v>
      </c>
      <c r="X21" s="10">
        <f>+[37]EEFF_Consolidados!X21</f>
        <v>269972</v>
      </c>
    </row>
    <row r="22" spans="2:24" ht="15.5">
      <c r="B22" s="639" t="s">
        <v>42</v>
      </c>
      <c r="C22" s="65">
        <v>8923823</v>
      </c>
      <c r="D22" s="65">
        <v>4439157</v>
      </c>
      <c r="E22" s="65">
        <v>1070279</v>
      </c>
      <c r="F22" s="65">
        <v>945423</v>
      </c>
      <c r="G22" s="65">
        <v>1393954</v>
      </c>
      <c r="H22" s="65">
        <v>1402593</v>
      </c>
      <c r="I22" s="65">
        <v>1227268</v>
      </c>
      <c r="J22" s="65">
        <v>1424997</v>
      </c>
      <c r="K22" s="65">
        <v>1245466</v>
      </c>
      <c r="L22" s="65">
        <v>1387875</v>
      </c>
      <c r="M22" s="65">
        <f t="shared" ref="M22:O22" si="3">+M11+M21</f>
        <v>1356303</v>
      </c>
      <c r="N22" s="65">
        <f t="shared" si="3"/>
        <v>1902740</v>
      </c>
      <c r="O22" s="65">
        <f t="shared" si="3"/>
        <v>1766191</v>
      </c>
      <c r="P22" s="65">
        <f>+P11+P21</f>
        <v>1548225</v>
      </c>
      <c r="Q22" s="65">
        <f>+Q11+Q21</f>
        <v>1505713</v>
      </c>
      <c r="R22" s="65">
        <v>1911194</v>
      </c>
      <c r="S22" s="65">
        <f t="shared" ref="S22" si="4">+S11+S21</f>
        <v>1867923</v>
      </c>
      <c r="T22" s="65">
        <v>1835598</v>
      </c>
      <c r="V22" s="639" t="s">
        <v>1111</v>
      </c>
      <c r="W22" s="65">
        <v>1480248</v>
      </c>
      <c r="X22" s="65">
        <f>+[37]EEFF_Consolidados!X22</f>
        <v>1717577</v>
      </c>
    </row>
    <row r="23" spans="2:24" ht="15.5">
      <c r="B23" s="82"/>
      <c r="C23" s="45"/>
      <c r="D23" s="45"/>
      <c r="E23" s="45"/>
      <c r="F23" s="45"/>
      <c r="G23" s="45"/>
      <c r="H23" s="45"/>
      <c r="I23" s="45"/>
      <c r="J23" s="45"/>
      <c r="K23" s="45"/>
      <c r="L23" s="45"/>
      <c r="M23" s="354"/>
      <c r="N23" s="354"/>
      <c r="O23" s="354"/>
      <c r="P23" s="45"/>
      <c r="Q23" s="354"/>
      <c r="R23" s="354"/>
      <c r="S23" s="354"/>
      <c r="T23" s="354"/>
      <c r="V23" s="82"/>
      <c r="W23" s="354"/>
      <c r="X23" s="354"/>
    </row>
    <row r="24" spans="2:24" ht="15.5">
      <c r="B24" s="83" t="s">
        <v>43</v>
      </c>
      <c r="C24" s="10">
        <v>668843</v>
      </c>
      <c r="D24" s="10">
        <v>630639</v>
      </c>
      <c r="E24" s="10">
        <v>181503</v>
      </c>
      <c r="F24" s="10">
        <v>184218</v>
      </c>
      <c r="G24" s="10">
        <v>200071</v>
      </c>
      <c r="H24" s="10">
        <v>215324</v>
      </c>
      <c r="I24" s="10">
        <v>188306</v>
      </c>
      <c r="J24" s="10">
        <v>199288</v>
      </c>
      <c r="K24" s="10">
        <v>215028</v>
      </c>
      <c r="L24" s="10">
        <v>222683</v>
      </c>
      <c r="M24" s="10">
        <v>230613</v>
      </c>
      <c r="N24" s="10">
        <v>247392</v>
      </c>
      <c r="O24" s="10">
        <f>270116-1</f>
        <v>270115</v>
      </c>
      <c r="P24" s="10">
        <f>996830-O24-N24-M24</f>
        <v>248710</v>
      </c>
      <c r="Q24" s="10">
        <v>222231</v>
      </c>
      <c r="R24" s="10">
        <v>253860</v>
      </c>
      <c r="S24" s="10">
        <v>270056</v>
      </c>
      <c r="T24" s="10">
        <v>281830</v>
      </c>
      <c r="V24" s="83"/>
      <c r="W24" s="10"/>
      <c r="X24" s="10">
        <f>+[37]EEFF_Consolidados!X24</f>
        <v>0</v>
      </c>
    </row>
    <row r="25" spans="2:24" ht="15.5">
      <c r="B25" s="83" t="s">
        <v>44</v>
      </c>
      <c r="C25" s="10">
        <v>233690</v>
      </c>
      <c r="D25" s="10">
        <v>139291</v>
      </c>
      <c r="E25" s="10">
        <v>37879</v>
      </c>
      <c r="F25" s="10">
        <v>39191</v>
      </c>
      <c r="G25" s="10">
        <v>112373</v>
      </c>
      <c r="H25" s="10">
        <v>48931</v>
      </c>
      <c r="I25" s="10">
        <v>35000</v>
      </c>
      <c r="J25" s="10">
        <v>60841</v>
      </c>
      <c r="K25" s="10">
        <v>75155</v>
      </c>
      <c r="L25" s="10">
        <v>42732</v>
      </c>
      <c r="M25" s="10">
        <f>64790+58925</f>
        <v>123715</v>
      </c>
      <c r="N25" s="10">
        <f>-24921+32959</f>
        <v>8038</v>
      </c>
      <c r="O25" s="10">
        <f>119520-2</f>
        <v>119518</v>
      </c>
      <c r="P25" s="10">
        <f>519366-O25-N25-M25</f>
        <v>268095</v>
      </c>
      <c r="Q25" s="10">
        <v>141024</v>
      </c>
      <c r="R25" s="10">
        <v>135123</v>
      </c>
      <c r="S25" s="10">
        <v>115395</v>
      </c>
      <c r="T25" s="10">
        <v>165175</v>
      </c>
      <c r="V25" s="83" t="s">
        <v>44</v>
      </c>
      <c r="W25" s="10">
        <v>149033</v>
      </c>
      <c r="X25" s="10">
        <f>+[37]EEFF_Consolidados!X25</f>
        <v>176973</v>
      </c>
    </row>
    <row r="26" spans="2:24" ht="15.5">
      <c r="B26" s="83" t="s">
        <v>45</v>
      </c>
      <c r="C26" s="10">
        <v>14564</v>
      </c>
      <c r="D26" s="10">
        <v>179116</v>
      </c>
      <c r="E26" s="10">
        <v>10184</v>
      </c>
      <c r="F26" s="10">
        <v>20650</v>
      </c>
      <c r="G26" s="10">
        <v>12733</v>
      </c>
      <c r="H26" s="10">
        <v>-41341</v>
      </c>
      <c r="I26" s="10">
        <v>8045</v>
      </c>
      <c r="J26" s="10">
        <v>3628</v>
      </c>
      <c r="K26" s="10">
        <v>5987</v>
      </c>
      <c r="L26" s="10">
        <v>52152</v>
      </c>
      <c r="M26" s="10">
        <v>9555</v>
      </c>
      <c r="N26" s="10">
        <v>97334</v>
      </c>
      <c r="O26" s="10">
        <f>-1328+1</f>
        <v>-1327</v>
      </c>
      <c r="P26" s="10">
        <f>115334-O26-N26-M26</f>
        <v>9772</v>
      </c>
      <c r="Q26" s="10">
        <v>2810</v>
      </c>
      <c r="R26" s="10">
        <v>-12727</v>
      </c>
      <c r="S26" s="10">
        <v>2271</v>
      </c>
      <c r="T26" s="10">
        <v>2587</v>
      </c>
      <c r="V26" s="83" t="s">
        <v>45</v>
      </c>
      <c r="W26" s="10">
        <v>3825</v>
      </c>
      <c r="X26" s="10">
        <f>+[37]EEFF_Consolidados!X26</f>
        <v>13305</v>
      </c>
    </row>
    <row r="27" spans="2:24" ht="15.5">
      <c r="B27" s="85" t="s">
        <v>46</v>
      </c>
      <c r="C27" s="66">
        <v>8503234</v>
      </c>
      <c r="D27" s="66">
        <v>4126925</v>
      </c>
      <c r="E27" s="66">
        <v>936839</v>
      </c>
      <c r="F27" s="66">
        <v>821046</v>
      </c>
      <c r="G27" s="66">
        <v>1318989</v>
      </c>
      <c r="H27" s="66">
        <v>1194859</v>
      </c>
      <c r="I27" s="66">
        <v>1082007</v>
      </c>
      <c r="J27" s="66">
        <v>1290178</v>
      </c>
      <c r="K27" s="66">
        <v>1111580</v>
      </c>
      <c r="L27" s="66">
        <v>1260076</v>
      </c>
      <c r="M27" s="66">
        <f t="shared" ref="M27:O27" si="5">+M22-M24+M25+M26</f>
        <v>1258960</v>
      </c>
      <c r="N27" s="66">
        <f t="shared" si="5"/>
        <v>1760720</v>
      </c>
      <c r="O27" s="66">
        <f t="shared" si="5"/>
        <v>1614267</v>
      </c>
      <c r="P27" s="66">
        <f>+P22-P24+P25+P26</f>
        <v>1577382</v>
      </c>
      <c r="Q27" s="66">
        <f>+Q22-Q24+Q25+Q26</f>
        <v>1427316</v>
      </c>
      <c r="R27" s="66">
        <v>1779730</v>
      </c>
      <c r="S27" s="66">
        <f>+S22-S24+S25+S26</f>
        <v>1715533</v>
      </c>
      <c r="T27" s="66">
        <v>1721530</v>
      </c>
      <c r="V27" s="85" t="s">
        <v>46</v>
      </c>
      <c r="W27" s="66">
        <v>1671566</v>
      </c>
      <c r="X27" s="66">
        <f>+[37]EEFF_Consolidados!X27</f>
        <v>1961247</v>
      </c>
    </row>
    <row r="28" spans="2:24" ht="15.5">
      <c r="B28" s="83"/>
      <c r="C28" s="10"/>
      <c r="D28" s="10"/>
      <c r="E28" s="10"/>
      <c r="F28" s="10"/>
      <c r="G28" s="10"/>
      <c r="H28" s="10"/>
      <c r="I28" s="10"/>
      <c r="J28" s="10"/>
      <c r="K28" s="10"/>
      <c r="L28" s="10"/>
      <c r="M28" s="10"/>
      <c r="N28" s="10"/>
      <c r="O28" s="10"/>
      <c r="P28" s="10"/>
      <c r="Q28" s="10"/>
      <c r="R28" s="10">
        <v>0</v>
      </c>
      <c r="S28" s="10"/>
      <c r="T28" s="10"/>
      <c r="V28" s="83"/>
      <c r="W28" s="10"/>
      <c r="X28" s="10">
        <f>+[37]EEFF_Consolidados!X28</f>
        <v>0</v>
      </c>
    </row>
    <row r="29" spans="2:24" ht="15.5">
      <c r="B29" s="83" t="s">
        <v>47</v>
      </c>
      <c r="C29" s="10">
        <v>-1033341</v>
      </c>
      <c r="D29" s="10">
        <v>-866819</v>
      </c>
      <c r="E29" s="10">
        <v>-282504</v>
      </c>
      <c r="F29" s="10">
        <v>-257605</v>
      </c>
      <c r="G29" s="10">
        <v>-287933</v>
      </c>
      <c r="H29" s="10">
        <v>-259570</v>
      </c>
      <c r="I29" s="10">
        <v>-267279</v>
      </c>
      <c r="J29" s="10">
        <v>-335663</v>
      </c>
      <c r="K29" s="10">
        <v>-308126</v>
      </c>
      <c r="L29" s="10">
        <v>-301596</v>
      </c>
      <c r="M29" s="10">
        <v>-336026</v>
      </c>
      <c r="N29" s="10">
        <v>-299787</v>
      </c>
      <c r="O29" s="10">
        <v>-294009</v>
      </c>
      <c r="P29" s="10">
        <f>-1372872-O29-N29-M29</f>
        <v>-443050</v>
      </c>
      <c r="Q29" s="10">
        <v>-382053</v>
      </c>
      <c r="R29" s="10">
        <v>-444924</v>
      </c>
      <c r="S29" s="10">
        <v>-848793</v>
      </c>
      <c r="T29" s="10">
        <v>-657359</v>
      </c>
      <c r="V29" s="83" t="s">
        <v>47</v>
      </c>
      <c r="W29" s="10">
        <v>-637473</v>
      </c>
      <c r="X29" s="10">
        <f>+[37]EEFF_Consolidados!X29</f>
        <v>-703241</v>
      </c>
    </row>
    <row r="30" spans="2:24" ht="15.5">
      <c r="B30" s="85" t="s">
        <v>48</v>
      </c>
      <c r="C30" s="66">
        <v>7469893</v>
      </c>
      <c r="D30" s="66">
        <v>3260106</v>
      </c>
      <c r="E30" s="66">
        <v>654335</v>
      </c>
      <c r="F30" s="66">
        <v>563441</v>
      </c>
      <c r="G30" s="66">
        <v>1031056</v>
      </c>
      <c r="H30" s="66">
        <v>935289</v>
      </c>
      <c r="I30" s="66">
        <v>814728</v>
      </c>
      <c r="J30" s="66">
        <v>954515</v>
      </c>
      <c r="K30" s="66">
        <v>803454</v>
      </c>
      <c r="L30" s="66">
        <v>958480</v>
      </c>
      <c r="M30" s="66">
        <f t="shared" ref="M30:O30" si="6">+M27+M29</f>
        <v>922934</v>
      </c>
      <c r="N30" s="66">
        <f t="shared" si="6"/>
        <v>1460933</v>
      </c>
      <c r="O30" s="66">
        <f t="shared" si="6"/>
        <v>1320258</v>
      </c>
      <c r="P30" s="66">
        <f>+P27+P29</f>
        <v>1134332</v>
      </c>
      <c r="Q30" s="66">
        <f>+Q27+Q29</f>
        <v>1045263</v>
      </c>
      <c r="R30" s="66">
        <v>1334806</v>
      </c>
      <c r="S30" s="66">
        <f t="shared" ref="S30" si="7">+S27+S29</f>
        <v>866740</v>
      </c>
      <c r="T30" s="66">
        <v>1064171</v>
      </c>
      <c r="V30" s="85" t="s">
        <v>48</v>
      </c>
      <c r="W30" s="66">
        <v>1034093</v>
      </c>
      <c r="X30" s="66">
        <f>+[37]EEFF_Consolidados!X30</f>
        <v>1258006</v>
      </c>
    </row>
    <row r="31" spans="2:24" ht="15.5">
      <c r="B31" s="82"/>
      <c r="C31" s="45"/>
      <c r="D31" s="45"/>
      <c r="E31" s="45"/>
      <c r="F31" s="45"/>
      <c r="G31" s="45"/>
      <c r="H31" s="45"/>
      <c r="I31" s="45"/>
      <c r="J31" s="45"/>
      <c r="K31" s="45"/>
      <c r="L31" s="45"/>
      <c r="M31" s="354"/>
      <c r="N31" s="354"/>
      <c r="O31" s="354"/>
      <c r="P31" s="45"/>
      <c r="Q31" s="354"/>
      <c r="R31" s="354"/>
      <c r="S31" s="354"/>
      <c r="T31" s="354"/>
      <c r="V31" s="82"/>
      <c r="W31" s="354"/>
      <c r="X31" s="354"/>
    </row>
    <row r="32" spans="2:24" ht="15.5">
      <c r="B32" s="83" t="s">
        <v>49</v>
      </c>
      <c r="C32" s="10">
        <v>2452158</v>
      </c>
      <c r="D32" s="10">
        <v>916298</v>
      </c>
      <c r="E32" s="10">
        <v>193757</v>
      </c>
      <c r="F32" s="10">
        <v>182166</v>
      </c>
      <c r="G32" s="10">
        <v>248363</v>
      </c>
      <c r="H32" s="10">
        <v>-40559</v>
      </c>
      <c r="I32" s="10">
        <v>233948</v>
      </c>
      <c r="J32" s="10">
        <v>240825</v>
      </c>
      <c r="K32" s="10">
        <v>158852</v>
      </c>
      <c r="L32" s="10">
        <v>139191</v>
      </c>
      <c r="M32" s="10">
        <f>198865+2350</f>
        <v>201215</v>
      </c>
      <c r="N32" s="10">
        <f>377798+7580</f>
        <v>385378</v>
      </c>
      <c r="O32" s="10">
        <v>340210</v>
      </c>
      <c r="P32" s="10">
        <f>1074232-O32-N32-M32</f>
        <v>147429</v>
      </c>
      <c r="Q32" s="10">
        <v>251845</v>
      </c>
      <c r="R32" s="10">
        <v>330545</v>
      </c>
      <c r="S32" s="10">
        <v>352681</v>
      </c>
      <c r="T32" s="10">
        <v>171197</v>
      </c>
      <c r="V32" s="83" t="s">
        <v>49</v>
      </c>
      <c r="W32" s="10">
        <v>282148</v>
      </c>
      <c r="X32" s="10">
        <f>+[37]EEFF_Consolidados!X32</f>
        <v>80121</v>
      </c>
    </row>
    <row r="33" spans="2:43" ht="15.5">
      <c r="B33" s="85" t="s">
        <v>50</v>
      </c>
      <c r="C33" s="66">
        <v>5017735</v>
      </c>
      <c r="D33" s="66">
        <v>2343808</v>
      </c>
      <c r="E33" s="66">
        <v>460578</v>
      </c>
      <c r="F33" s="66">
        <v>381275</v>
      </c>
      <c r="G33" s="66">
        <v>782693</v>
      </c>
      <c r="H33" s="66">
        <v>975848</v>
      </c>
      <c r="I33" s="66">
        <v>580780</v>
      </c>
      <c r="J33" s="66">
        <v>713690</v>
      </c>
      <c r="K33" s="66">
        <v>644602</v>
      </c>
      <c r="L33" s="66">
        <v>819289</v>
      </c>
      <c r="M33" s="66">
        <f t="shared" ref="M33:O33" si="8">+M30-M32</f>
        <v>721719</v>
      </c>
      <c r="N33" s="66">
        <f t="shared" si="8"/>
        <v>1075555</v>
      </c>
      <c r="O33" s="66">
        <f t="shared" si="8"/>
        <v>980048</v>
      </c>
      <c r="P33" s="66">
        <f>+P30-P32</f>
        <v>986903</v>
      </c>
      <c r="Q33" s="66">
        <f>+Q30-Q32</f>
        <v>793418</v>
      </c>
      <c r="R33" s="66">
        <v>1004261</v>
      </c>
      <c r="S33" s="66">
        <f>+S30-S32</f>
        <v>514059</v>
      </c>
      <c r="T33" s="66">
        <v>892974</v>
      </c>
      <c r="V33" s="85" t="s">
        <v>50</v>
      </c>
      <c r="W33" s="66">
        <v>751945</v>
      </c>
      <c r="X33" s="66">
        <f>+[37]EEFF_Consolidados!X33</f>
        <v>1177885</v>
      </c>
    </row>
    <row r="34" spans="2:43" ht="15.5">
      <c r="B34" s="142"/>
      <c r="C34" s="11"/>
      <c r="D34" s="11"/>
      <c r="E34" s="11"/>
      <c r="F34" s="11"/>
      <c r="G34" s="11"/>
      <c r="H34" s="11"/>
      <c r="I34" s="11"/>
      <c r="J34" s="11"/>
      <c r="K34" s="11"/>
      <c r="L34" s="11"/>
      <c r="M34" s="10"/>
      <c r="N34" s="10"/>
      <c r="O34" s="10"/>
      <c r="P34" s="11"/>
      <c r="Q34" s="11"/>
      <c r="R34" s="11"/>
      <c r="S34" s="11"/>
      <c r="T34" s="11"/>
      <c r="V34" s="142"/>
      <c r="W34" s="11"/>
      <c r="X34" s="11">
        <f>+[37]EEFF_Consolidados!X34</f>
        <v>0</v>
      </c>
    </row>
    <row r="35" spans="2:43" ht="15.5">
      <c r="B35" s="83" t="s">
        <v>51</v>
      </c>
      <c r="C35" s="10">
        <v>2881106</v>
      </c>
      <c r="D35" s="10">
        <v>905872</v>
      </c>
      <c r="E35" s="10">
        <v>163004</v>
      </c>
      <c r="F35" s="10">
        <v>149018</v>
      </c>
      <c r="G35" s="10">
        <v>369666</v>
      </c>
      <c r="H35" s="10">
        <v>394324</v>
      </c>
      <c r="I35" s="10">
        <v>227655</v>
      </c>
      <c r="J35" s="10">
        <v>274600</v>
      </c>
      <c r="K35" s="10">
        <v>238751</v>
      </c>
      <c r="L35" s="10">
        <v>378623</v>
      </c>
      <c r="M35" s="10">
        <f>249762+57933</f>
        <v>307695</v>
      </c>
      <c r="N35" s="10">
        <f>449505+46765</f>
        <v>496270</v>
      </c>
      <c r="O35" s="10">
        <v>413922</v>
      </c>
      <c r="P35" s="10">
        <f>1705034-O35-N35-M35</f>
        <v>487147</v>
      </c>
      <c r="Q35" s="10">
        <v>285483</v>
      </c>
      <c r="R35" s="10">
        <v>418369</v>
      </c>
      <c r="S35" s="10">
        <v>392693</v>
      </c>
      <c r="T35" s="10">
        <v>442630</v>
      </c>
      <c r="V35" s="83" t="s">
        <v>51</v>
      </c>
      <c r="W35" s="10">
        <v>320565</v>
      </c>
      <c r="X35" s="10">
        <f>+[37]EEFF_Consolidados!X35</f>
        <v>507468</v>
      </c>
    </row>
    <row r="36" spans="2:43" ht="15.5">
      <c r="B36" s="85" t="s">
        <v>52</v>
      </c>
      <c r="C36" s="66">
        <v>2136629</v>
      </c>
      <c r="D36" s="66">
        <v>1437936</v>
      </c>
      <c r="E36" s="66">
        <v>297574</v>
      </c>
      <c r="F36" s="66">
        <v>232257</v>
      </c>
      <c r="G36" s="66">
        <v>413027</v>
      </c>
      <c r="H36" s="66">
        <v>581524</v>
      </c>
      <c r="I36" s="66">
        <v>353125</v>
      </c>
      <c r="J36" s="66">
        <v>439090</v>
      </c>
      <c r="K36" s="66">
        <v>405851</v>
      </c>
      <c r="L36" s="66">
        <v>440666</v>
      </c>
      <c r="M36" s="66">
        <f t="shared" ref="M36:O36" si="9">+M33-M35</f>
        <v>414024</v>
      </c>
      <c r="N36" s="66">
        <f t="shared" si="9"/>
        <v>579285</v>
      </c>
      <c r="O36" s="66">
        <f t="shared" si="9"/>
        <v>566126</v>
      </c>
      <c r="P36" s="66">
        <f>+P33-P35</f>
        <v>499756</v>
      </c>
      <c r="Q36" s="66">
        <f>+Q33-Q35</f>
        <v>507935</v>
      </c>
      <c r="R36" s="66">
        <v>585892</v>
      </c>
      <c r="S36" s="66">
        <f>+S33-S35</f>
        <v>121366</v>
      </c>
      <c r="T36" s="66">
        <v>450344</v>
      </c>
      <c r="V36" s="85" t="s">
        <v>52</v>
      </c>
      <c r="W36" s="66">
        <v>431380</v>
      </c>
      <c r="X36" s="66">
        <f>+[37]EEFF_Consolidados!X36</f>
        <v>670417</v>
      </c>
    </row>
    <row r="37" spans="2:43" ht="15.5">
      <c r="B37" s="143"/>
      <c r="Q37" s="749">
        <f t="shared" ref="Q37:S37" si="10">+Q32/Q30</f>
        <v>0.24093936167261254</v>
      </c>
      <c r="R37" s="749">
        <f t="shared" si="10"/>
        <v>0.24763523688086508</v>
      </c>
      <c r="S37" s="749">
        <f t="shared" si="10"/>
        <v>0.40690518494588918</v>
      </c>
      <c r="T37" s="749">
        <f>+T32/T30</f>
        <v>0.16087358140749936</v>
      </c>
      <c r="W37" s="46"/>
    </row>
    <row r="38" spans="2:43" ht="15.5">
      <c r="B38" s="143"/>
      <c r="W38" s="46"/>
    </row>
    <row r="39" spans="2:43" ht="15.5">
      <c r="B39" s="143" t="s">
        <v>1113</v>
      </c>
      <c r="P39" s="46"/>
      <c r="Q39" s="46"/>
      <c r="S39" s="46"/>
      <c r="T39" s="46"/>
      <c r="U39" s="46"/>
      <c r="V39" s="85" t="s">
        <v>1104</v>
      </c>
      <c r="W39" s="66">
        <v>1965304</v>
      </c>
      <c r="X39" s="66">
        <f>+[37]EEFF_Consolidados!X39</f>
        <v>2226468</v>
      </c>
      <c r="Y39" s="46"/>
      <c r="Z39" s="46"/>
      <c r="AA39" s="46"/>
      <c r="AB39" s="46"/>
      <c r="AC39" s="46"/>
      <c r="AD39" s="46"/>
      <c r="AE39" s="46"/>
      <c r="AF39" s="46"/>
      <c r="AG39" s="46"/>
      <c r="AH39" s="46"/>
      <c r="AI39" s="46"/>
      <c r="AJ39" s="46"/>
      <c r="AK39" s="46"/>
      <c r="AL39" s="46"/>
      <c r="AM39" s="46"/>
      <c r="AN39" s="46"/>
      <c r="AO39" s="46"/>
      <c r="AP39" s="46"/>
      <c r="AQ39" s="46"/>
    </row>
    <row r="40" spans="2:43" ht="15.5">
      <c r="B40" s="638"/>
      <c r="P40" s="46"/>
      <c r="Q40" s="46"/>
      <c r="S40" s="46"/>
      <c r="T40" s="46"/>
      <c r="U40" s="46"/>
      <c r="V40" s="46"/>
      <c r="W40" s="46"/>
      <c r="Y40" s="46"/>
      <c r="Z40" s="46"/>
      <c r="AA40" s="46"/>
      <c r="AB40" s="46"/>
      <c r="AC40" s="46"/>
      <c r="AD40" s="46"/>
      <c r="AE40" s="46"/>
      <c r="AF40" s="46"/>
      <c r="AG40" s="46"/>
      <c r="AH40" s="46"/>
      <c r="AI40" s="46"/>
      <c r="AJ40" s="46"/>
      <c r="AK40" s="46"/>
      <c r="AL40" s="46"/>
      <c r="AM40" s="46"/>
      <c r="AN40" s="46"/>
      <c r="AO40" s="46"/>
      <c r="AP40" s="46"/>
      <c r="AQ40" s="46"/>
    </row>
    <row r="41" spans="2:43" ht="15.5">
      <c r="B41" s="638"/>
      <c r="P41" s="46"/>
      <c r="Q41" s="46"/>
      <c r="S41" s="46"/>
      <c r="T41" s="46"/>
      <c r="U41" s="46"/>
      <c r="V41" s="46"/>
      <c r="W41" s="46"/>
      <c r="Y41" s="46"/>
      <c r="Z41" s="46"/>
      <c r="AA41" s="46"/>
      <c r="AB41" s="46"/>
      <c r="AC41" s="46"/>
      <c r="AD41" s="46"/>
      <c r="AE41" s="46"/>
      <c r="AF41" s="46"/>
      <c r="AG41" s="46"/>
      <c r="AH41" s="46"/>
      <c r="AI41" s="46"/>
      <c r="AJ41" s="46"/>
      <c r="AK41" s="46"/>
      <c r="AL41" s="46"/>
      <c r="AM41" s="46"/>
      <c r="AN41" s="46"/>
      <c r="AO41" s="46"/>
      <c r="AP41" s="46"/>
      <c r="AQ41" s="46"/>
    </row>
    <row r="42" spans="2:43" ht="15.5">
      <c r="B42" s="635"/>
      <c r="P42" s="46"/>
      <c r="Q42" s="46"/>
      <c r="S42" s="46"/>
      <c r="T42" s="46"/>
      <c r="U42" s="46"/>
      <c r="W42" s="46"/>
      <c r="Y42" s="46"/>
      <c r="Z42" s="46"/>
      <c r="AA42" s="46"/>
      <c r="AB42" s="46"/>
      <c r="AC42" s="46"/>
      <c r="AD42" s="46"/>
      <c r="AE42" s="46"/>
      <c r="AF42" s="46"/>
      <c r="AG42" s="46"/>
      <c r="AH42" s="46"/>
      <c r="AI42" s="46"/>
      <c r="AJ42" s="46"/>
      <c r="AK42" s="46"/>
      <c r="AL42" s="46"/>
      <c r="AM42" s="46"/>
      <c r="AN42" s="46"/>
      <c r="AO42" s="46"/>
      <c r="AP42" s="46"/>
      <c r="AQ42" s="46"/>
    </row>
    <row r="43" spans="2:43" ht="15.5">
      <c r="B43" s="143"/>
      <c r="W43" s="46"/>
    </row>
    <row r="44" spans="2:43" ht="15">
      <c r="B44" s="12" t="s">
        <v>53</v>
      </c>
      <c r="C44" s="8"/>
      <c r="D44" s="8"/>
      <c r="E44" s="8"/>
      <c r="F44" s="8"/>
      <c r="G44" s="8"/>
      <c r="H44" s="13"/>
      <c r="I44" s="13"/>
      <c r="J44" s="13"/>
      <c r="K44" s="13"/>
      <c r="L44" s="13"/>
      <c r="W44" s="46"/>
    </row>
    <row r="45" spans="2:43" ht="15">
      <c r="B45" s="14" t="s">
        <v>54</v>
      </c>
      <c r="C45" s="8"/>
      <c r="D45" s="8"/>
      <c r="E45" s="8"/>
      <c r="F45" s="8"/>
      <c r="G45" s="8"/>
      <c r="H45" s="15"/>
      <c r="I45" s="15"/>
      <c r="J45" s="15"/>
      <c r="K45" s="15"/>
      <c r="L45" s="15"/>
      <c r="W45" s="46"/>
    </row>
    <row r="46" spans="2:43" ht="15.5">
      <c r="B46" s="90"/>
      <c r="C46" s="8"/>
      <c r="D46" s="8"/>
      <c r="E46" s="8"/>
      <c r="F46" s="8"/>
      <c r="G46" s="8"/>
      <c r="H46" s="16"/>
      <c r="I46" s="16"/>
      <c r="J46" s="16"/>
      <c r="K46" s="16"/>
      <c r="L46" s="16"/>
      <c r="W46" s="46"/>
    </row>
    <row r="47" spans="2:43" ht="16" thickBot="1">
      <c r="B47" s="91"/>
      <c r="C47" s="17"/>
      <c r="D47" s="17"/>
      <c r="E47" s="17"/>
      <c r="F47" s="17"/>
      <c r="G47" s="17"/>
      <c r="H47" s="17"/>
      <c r="I47" s="17"/>
      <c r="J47" s="17"/>
      <c r="K47" s="17"/>
      <c r="L47" s="17"/>
      <c r="M47" s="17"/>
      <c r="N47" s="17"/>
      <c r="O47" s="17"/>
      <c r="P47" s="17"/>
      <c r="Q47" s="346"/>
      <c r="R47" s="346"/>
      <c r="S47" s="346"/>
      <c r="T47" s="346"/>
      <c r="V47" s="91"/>
      <c r="W47" s="31" t="s">
        <v>1109</v>
      </c>
      <c r="X47" s="31" t="s">
        <v>1190</v>
      </c>
    </row>
    <row r="48" spans="2:43" ht="15.5" thickBot="1">
      <c r="B48" s="93" t="s">
        <v>55</v>
      </c>
      <c r="C48" s="19"/>
      <c r="D48" s="19"/>
      <c r="E48" s="19"/>
      <c r="F48" s="19"/>
      <c r="G48" s="19"/>
      <c r="H48" s="19"/>
      <c r="I48" s="19"/>
      <c r="J48" s="19"/>
      <c r="K48" s="19"/>
      <c r="L48" s="19"/>
      <c r="M48" s="19"/>
      <c r="N48" s="18"/>
      <c r="O48" s="18"/>
      <c r="P48" s="18"/>
      <c r="Q48" s="347"/>
      <c r="R48" s="347"/>
      <c r="S48" s="347"/>
      <c r="T48" s="347"/>
      <c r="V48" s="355" t="s">
        <v>55</v>
      </c>
      <c r="W48" s="347"/>
      <c r="X48" s="347"/>
    </row>
    <row r="49" spans="2:24" ht="15.5" thickBot="1">
      <c r="B49" s="95" t="s">
        <v>56</v>
      </c>
      <c r="C49" s="20"/>
      <c r="D49" s="20"/>
      <c r="E49" s="20"/>
      <c r="F49" s="20"/>
      <c r="G49" s="20"/>
      <c r="H49" s="20"/>
      <c r="I49" s="20"/>
      <c r="J49" s="20"/>
      <c r="K49" s="20"/>
      <c r="L49" s="20"/>
      <c r="M49" s="20"/>
      <c r="N49" s="20"/>
      <c r="O49" s="20"/>
      <c r="P49" s="20"/>
      <c r="Q49" s="348"/>
      <c r="R49" s="348"/>
      <c r="S49" s="356"/>
      <c r="T49" s="356"/>
      <c r="V49" s="95" t="s">
        <v>56</v>
      </c>
      <c r="W49" s="356"/>
      <c r="X49" s="356"/>
    </row>
    <row r="50" spans="2:24" ht="15.5" thickBot="1">
      <c r="B50" s="97" t="s">
        <v>57</v>
      </c>
      <c r="C50" s="21">
        <v>1146761</v>
      </c>
      <c r="D50" s="21">
        <v>1541551</v>
      </c>
      <c r="E50" s="21">
        <v>1628454</v>
      </c>
      <c r="F50" s="21">
        <v>1622252</v>
      </c>
      <c r="G50" s="21">
        <v>1801289</v>
      </c>
      <c r="H50" s="21">
        <v>1522060</v>
      </c>
      <c r="I50" s="21">
        <v>1831109</v>
      </c>
      <c r="J50" s="21">
        <v>1757502</v>
      </c>
      <c r="K50" s="21">
        <v>1542056</v>
      </c>
      <c r="L50" s="21">
        <v>2487201</v>
      </c>
      <c r="M50" s="21">
        <v>2797801</v>
      </c>
      <c r="N50" s="21">
        <v>3541940</v>
      </c>
      <c r="O50" s="21">
        <v>3570166.3160000001</v>
      </c>
      <c r="P50" s="325">
        <v>3781713</v>
      </c>
      <c r="Q50" s="325">
        <v>3437159</v>
      </c>
      <c r="R50" s="325">
        <v>4745206</v>
      </c>
      <c r="S50" s="325">
        <v>4967287</v>
      </c>
      <c r="T50" s="325">
        <v>4686462</v>
      </c>
      <c r="V50" s="97" t="s">
        <v>57</v>
      </c>
      <c r="W50" s="325">
        <v>4768417</v>
      </c>
      <c r="X50" s="325">
        <f>+[37]EEFF_Consolidados!X50</f>
        <v>4766464</v>
      </c>
    </row>
    <row r="51" spans="2:24" ht="15.5" thickBot="1">
      <c r="B51" s="97" t="s">
        <v>58</v>
      </c>
      <c r="C51" s="21">
        <v>3828360</v>
      </c>
      <c r="D51" s="21">
        <v>4390555</v>
      </c>
      <c r="E51" s="21">
        <v>4337409</v>
      </c>
      <c r="F51" s="21">
        <v>4049690</v>
      </c>
      <c r="G51" s="21">
        <v>4615663</v>
      </c>
      <c r="H51" s="21">
        <v>4845365</v>
      </c>
      <c r="I51" s="21">
        <v>4730855</v>
      </c>
      <c r="J51" s="21">
        <v>5926728</v>
      </c>
      <c r="K51" s="21">
        <v>6221853</v>
      </c>
      <c r="L51" s="21">
        <v>6337727</v>
      </c>
      <c r="M51" s="21">
        <v>4930958</v>
      </c>
      <c r="N51" s="21">
        <v>4855048</v>
      </c>
      <c r="O51" s="21">
        <v>4858695.693</v>
      </c>
      <c r="P51" s="325">
        <v>5171007</v>
      </c>
      <c r="Q51" s="325">
        <v>5167613</v>
      </c>
      <c r="R51" s="325">
        <v>4779221</v>
      </c>
      <c r="S51" s="325">
        <v>4982876</v>
      </c>
      <c r="T51" s="325">
        <v>5260260</v>
      </c>
      <c r="V51" s="97" t="s">
        <v>58</v>
      </c>
      <c r="W51" s="325">
        <v>5280483</v>
      </c>
      <c r="X51" s="325">
        <f>+[37]EEFF_Consolidados!X51</f>
        <v>5857522</v>
      </c>
    </row>
    <row r="52" spans="2:24" ht="15.5" thickBot="1">
      <c r="B52" s="97" t="s">
        <v>59</v>
      </c>
      <c r="C52" s="21">
        <v>463818</v>
      </c>
      <c r="D52" s="21">
        <v>309451</v>
      </c>
      <c r="E52" s="21">
        <v>458949</v>
      </c>
      <c r="F52" s="21">
        <v>607518</v>
      </c>
      <c r="G52" s="21">
        <v>678584</v>
      </c>
      <c r="H52" s="21">
        <v>316730</v>
      </c>
      <c r="I52" s="21">
        <v>303134</v>
      </c>
      <c r="J52" s="21">
        <v>406480</v>
      </c>
      <c r="K52" s="21">
        <v>479061</v>
      </c>
      <c r="L52" s="21">
        <v>247981</v>
      </c>
      <c r="M52" s="21">
        <v>305749</v>
      </c>
      <c r="N52" s="21">
        <v>398388</v>
      </c>
      <c r="O52" s="21">
        <v>474583.12900000002</v>
      </c>
      <c r="P52" s="325">
        <v>260466</v>
      </c>
      <c r="Q52" s="325">
        <v>361090</v>
      </c>
      <c r="R52" s="325">
        <v>426452</v>
      </c>
      <c r="S52" s="325">
        <v>484816</v>
      </c>
      <c r="T52" s="325">
        <v>271444</v>
      </c>
      <c r="V52" s="97" t="s">
        <v>59</v>
      </c>
      <c r="W52" s="325">
        <v>264541</v>
      </c>
      <c r="X52" s="325">
        <f>+[37]EEFF_Consolidados!X52</f>
        <v>337760</v>
      </c>
    </row>
    <row r="53" spans="2:24" ht="15.5" thickBot="1">
      <c r="B53" s="97" t="s">
        <v>60</v>
      </c>
      <c r="C53" s="21">
        <v>101743</v>
      </c>
      <c r="D53" s="21">
        <v>83481</v>
      </c>
      <c r="E53" s="21">
        <v>77289</v>
      </c>
      <c r="F53" s="21">
        <v>80026</v>
      </c>
      <c r="G53" s="21">
        <v>79889</v>
      </c>
      <c r="H53" s="21">
        <v>98271</v>
      </c>
      <c r="I53" s="21">
        <v>90607</v>
      </c>
      <c r="J53" s="21">
        <v>90452</v>
      </c>
      <c r="K53" s="21">
        <v>93743</v>
      </c>
      <c r="L53" s="21">
        <v>151527</v>
      </c>
      <c r="M53" s="21">
        <v>120948</v>
      </c>
      <c r="N53" s="21">
        <v>98789</v>
      </c>
      <c r="O53" s="21">
        <v>108311.74099999999</v>
      </c>
      <c r="P53" s="325">
        <v>100645</v>
      </c>
      <c r="Q53" s="325">
        <v>107602</v>
      </c>
      <c r="R53" s="325">
        <v>117081</v>
      </c>
      <c r="S53" s="325">
        <v>116938</v>
      </c>
      <c r="T53" s="325">
        <v>125392</v>
      </c>
      <c r="V53" s="97" t="s">
        <v>60</v>
      </c>
      <c r="W53" s="325">
        <v>126491</v>
      </c>
      <c r="X53" s="325">
        <f>+[37]EEFF_Consolidados!X53</f>
        <v>141514</v>
      </c>
    </row>
    <row r="54" spans="2:24" ht="15.5" thickBot="1">
      <c r="B54" s="97" t="s">
        <v>61</v>
      </c>
      <c r="C54" s="21">
        <v>132491</v>
      </c>
      <c r="D54" s="21">
        <v>95357</v>
      </c>
      <c r="E54" s="21">
        <v>144122</v>
      </c>
      <c r="F54" s="21">
        <v>153863</v>
      </c>
      <c r="G54" s="21">
        <v>213114</v>
      </c>
      <c r="H54" s="21">
        <v>241757</v>
      </c>
      <c r="I54" s="21">
        <v>255342</v>
      </c>
      <c r="J54" s="21">
        <v>247279</v>
      </c>
      <c r="K54" s="21">
        <v>264265</v>
      </c>
      <c r="L54" s="21">
        <v>225219</v>
      </c>
      <c r="M54" s="21">
        <v>341073</v>
      </c>
      <c r="N54" s="21">
        <v>276307</v>
      </c>
      <c r="O54" s="21">
        <v>396207.973</v>
      </c>
      <c r="P54" s="325">
        <v>394877</v>
      </c>
      <c r="Q54" s="325">
        <v>397795</v>
      </c>
      <c r="R54" s="325">
        <v>372692</v>
      </c>
      <c r="S54" s="325">
        <v>465324</v>
      </c>
      <c r="T54" s="325">
        <v>326432</v>
      </c>
      <c r="V54" s="97" t="s">
        <v>61</v>
      </c>
      <c r="W54" s="325">
        <v>375997</v>
      </c>
      <c r="X54" s="325">
        <f>+[37]EEFF_Consolidados!X54</f>
        <v>371061</v>
      </c>
    </row>
    <row r="55" spans="2:24" ht="15.5" thickBot="1">
      <c r="B55" s="97" t="s">
        <v>62</v>
      </c>
      <c r="C55" s="21">
        <v>0</v>
      </c>
      <c r="D55" s="21">
        <v>335</v>
      </c>
      <c r="E55" s="21">
        <v>5000</v>
      </c>
      <c r="F55" s="21">
        <v>2160</v>
      </c>
      <c r="G55" s="21">
        <v>603</v>
      </c>
      <c r="H55" s="21">
        <v>31</v>
      </c>
      <c r="I55" s="21">
        <v>575</v>
      </c>
      <c r="J55" s="21">
        <v>4625</v>
      </c>
      <c r="K55" s="21">
        <v>7426</v>
      </c>
      <c r="L55" s="21">
        <v>126</v>
      </c>
      <c r="M55" s="21">
        <v>98</v>
      </c>
      <c r="N55" s="21">
        <v>164</v>
      </c>
      <c r="O55" s="21">
        <v>189.69200000000001</v>
      </c>
      <c r="P55" s="325">
        <v>77</v>
      </c>
      <c r="Q55" s="325">
        <v>83</v>
      </c>
      <c r="R55" s="325">
        <v>138</v>
      </c>
      <c r="S55" s="325">
        <v>110</v>
      </c>
      <c r="T55" s="325">
        <v>113</v>
      </c>
      <c r="V55" s="97" t="s">
        <v>62</v>
      </c>
      <c r="W55" s="325">
        <v>0</v>
      </c>
      <c r="X55" s="325">
        <f>+[37]EEFF_Consolidados!X55</f>
        <v>114</v>
      </c>
    </row>
    <row r="56" spans="2:24" ht="15.5" thickBot="1">
      <c r="B56" s="99" t="s">
        <v>63</v>
      </c>
      <c r="C56" s="22">
        <v>5673173</v>
      </c>
      <c r="D56" s="22">
        <v>6420730</v>
      </c>
      <c r="E56" s="22">
        <v>6651223</v>
      </c>
      <c r="F56" s="22">
        <v>6515509</v>
      </c>
      <c r="G56" s="22">
        <v>7389142</v>
      </c>
      <c r="H56" s="22">
        <v>7024214</v>
      </c>
      <c r="I56" s="22">
        <v>7211622</v>
      </c>
      <c r="J56" s="22">
        <v>8433066</v>
      </c>
      <c r="K56" s="22">
        <v>8608404</v>
      </c>
      <c r="L56" s="22">
        <v>9449781</v>
      </c>
      <c r="M56" s="22">
        <v>8496627</v>
      </c>
      <c r="N56" s="22">
        <v>9170636</v>
      </c>
      <c r="O56" s="22">
        <v>9408154.5439999998</v>
      </c>
      <c r="P56" s="326">
        <f t="shared" ref="P56" si="11">SUM(P50:P55)</f>
        <v>9708785</v>
      </c>
      <c r="Q56" s="326">
        <f t="shared" ref="Q56" si="12">SUM(Q50:Q55)</f>
        <v>9471342</v>
      </c>
      <c r="R56" s="326">
        <v>10440790</v>
      </c>
      <c r="S56" s="326">
        <f t="shared" ref="S56" si="13">SUM(S50:S55)</f>
        <v>11017351</v>
      </c>
      <c r="T56" s="326">
        <f t="shared" ref="T56" si="14">SUM(T50:T55)</f>
        <v>10670103</v>
      </c>
      <c r="V56" s="99" t="s">
        <v>63</v>
      </c>
      <c r="W56" s="326">
        <v>10815929</v>
      </c>
      <c r="X56" s="326">
        <f>+[37]EEFF_Consolidados!X56</f>
        <v>11474435</v>
      </c>
    </row>
    <row r="57" spans="2:24" ht="15.5" thickBot="1">
      <c r="B57" s="95" t="s">
        <v>64</v>
      </c>
      <c r="C57" s="20"/>
      <c r="D57" s="20"/>
      <c r="E57" s="20"/>
      <c r="F57" s="20"/>
      <c r="G57" s="20"/>
      <c r="H57" s="20"/>
      <c r="I57" s="20"/>
      <c r="J57" s="20"/>
      <c r="K57" s="20"/>
      <c r="L57" s="20"/>
      <c r="M57" s="20"/>
      <c r="N57" s="20"/>
      <c r="O57" s="20"/>
      <c r="P57" s="356"/>
      <c r="Q57" s="349"/>
      <c r="R57" s="356">
        <v>0</v>
      </c>
      <c r="S57" s="356"/>
      <c r="T57" s="356"/>
      <c r="V57" s="95" t="s">
        <v>64</v>
      </c>
      <c r="W57" s="356"/>
      <c r="X57" s="356"/>
    </row>
    <row r="58" spans="2:24" ht="15.5" thickBot="1">
      <c r="B58" s="97" t="s">
        <v>65</v>
      </c>
      <c r="C58" s="21">
        <v>60495</v>
      </c>
      <c r="D58" s="21">
        <v>78204</v>
      </c>
      <c r="E58" s="21">
        <v>88224</v>
      </c>
      <c r="F58" s="21">
        <v>124375</v>
      </c>
      <c r="G58" s="21">
        <v>88533</v>
      </c>
      <c r="H58" s="21">
        <v>339007</v>
      </c>
      <c r="I58" s="21">
        <v>266055</v>
      </c>
      <c r="J58" s="21">
        <v>195559</v>
      </c>
      <c r="K58" s="21">
        <v>114913</v>
      </c>
      <c r="L58" s="21">
        <v>97347</v>
      </c>
      <c r="M58" s="21">
        <v>78828</v>
      </c>
      <c r="N58" s="21">
        <v>363474</v>
      </c>
      <c r="O58" s="21">
        <v>238183.84899999999</v>
      </c>
      <c r="P58" s="325">
        <v>217646</v>
      </c>
      <c r="Q58" s="325">
        <v>330867</v>
      </c>
      <c r="R58" s="325">
        <v>322747</v>
      </c>
      <c r="S58" s="325">
        <v>63739</v>
      </c>
      <c r="T58" s="325">
        <v>138688</v>
      </c>
      <c r="V58" s="97" t="s">
        <v>65</v>
      </c>
      <c r="W58" s="325">
        <v>145222</v>
      </c>
      <c r="X58" s="325">
        <f>+[37]EEFF_Consolidados!X58</f>
        <v>217813</v>
      </c>
    </row>
    <row r="59" spans="2:24" ht="15.5" thickBot="1">
      <c r="B59" s="97" t="s">
        <v>66</v>
      </c>
      <c r="C59" s="21">
        <v>0</v>
      </c>
      <c r="D59" s="21">
        <v>46870</v>
      </c>
      <c r="E59" s="21">
        <v>43303</v>
      </c>
      <c r="F59" s="21">
        <v>44649</v>
      </c>
      <c r="G59" s="21">
        <v>46680</v>
      </c>
      <c r="H59" s="21">
        <v>27241</v>
      </c>
      <c r="I59" s="21">
        <v>27736</v>
      </c>
      <c r="J59" s="21">
        <v>26279</v>
      </c>
      <c r="K59" s="21">
        <v>30994</v>
      </c>
      <c r="L59" s="21">
        <v>6174</v>
      </c>
      <c r="M59" s="21">
        <v>13453</v>
      </c>
      <c r="N59" s="21">
        <v>20611</v>
      </c>
      <c r="O59" s="21">
        <v>25327.063999999998</v>
      </c>
      <c r="P59" s="325">
        <v>5156</v>
      </c>
      <c r="Q59" s="325">
        <v>11486</v>
      </c>
      <c r="R59" s="325">
        <v>14349</v>
      </c>
      <c r="S59" s="325">
        <v>18933</v>
      </c>
      <c r="T59" s="325">
        <v>5274</v>
      </c>
      <c r="V59" s="97" t="s">
        <v>66</v>
      </c>
      <c r="W59" s="325">
        <v>8409</v>
      </c>
      <c r="X59" s="325">
        <f>+[37]EEFF_Consolidados!X59</f>
        <v>13707</v>
      </c>
    </row>
    <row r="60" spans="2:24" ht="15.5" thickBot="1">
      <c r="B60" s="97" t="s">
        <v>67</v>
      </c>
      <c r="C60" s="21">
        <v>1690711</v>
      </c>
      <c r="D60" s="21">
        <v>3093842</v>
      </c>
      <c r="E60" s="21">
        <v>2921736</v>
      </c>
      <c r="F60" s="21">
        <v>2717913</v>
      </c>
      <c r="G60" s="21">
        <v>2669320</v>
      </c>
      <c r="H60" s="21">
        <v>2871781</v>
      </c>
      <c r="I60" s="21">
        <v>2886392</v>
      </c>
      <c r="J60" s="21">
        <v>3001307</v>
      </c>
      <c r="K60" s="21">
        <v>3079648</v>
      </c>
      <c r="L60" s="21">
        <v>3119350</v>
      </c>
      <c r="M60" s="21">
        <v>3231320</v>
      </c>
      <c r="N60" s="21">
        <v>2861797</v>
      </c>
      <c r="O60" s="21">
        <v>2942426.4249999998</v>
      </c>
      <c r="P60" s="325">
        <v>3124526</v>
      </c>
      <c r="Q60" s="325">
        <v>3286100</v>
      </c>
      <c r="R60" s="325">
        <v>3732594</v>
      </c>
      <c r="S60" s="325">
        <v>3637681</v>
      </c>
      <c r="T60" s="325">
        <v>3719877</v>
      </c>
      <c r="V60" s="97" t="s">
        <v>67</v>
      </c>
      <c r="W60" s="325">
        <v>4243596</v>
      </c>
      <c r="X60" s="325">
        <f>+[37]EEFF_Consolidados!X60</f>
        <v>4401210</v>
      </c>
    </row>
    <row r="61" spans="2:24" ht="15.5" thickBot="1">
      <c r="B61" s="97" t="s">
        <v>68</v>
      </c>
      <c r="C61" s="21">
        <v>16315</v>
      </c>
      <c r="D61" s="21">
        <v>16335</v>
      </c>
      <c r="E61" s="21">
        <v>16335</v>
      </c>
      <c r="F61" s="21">
        <v>16332</v>
      </c>
      <c r="G61" s="21">
        <v>16332</v>
      </c>
      <c r="H61" s="21">
        <v>15478</v>
      </c>
      <c r="I61" s="21">
        <v>15478</v>
      </c>
      <c r="J61" s="21">
        <v>15478</v>
      </c>
      <c r="K61" s="21">
        <v>15478</v>
      </c>
      <c r="L61" s="21">
        <v>15478</v>
      </c>
      <c r="M61" s="21">
        <v>16572</v>
      </c>
      <c r="N61" s="21">
        <v>16723</v>
      </c>
      <c r="O61" s="21">
        <v>17101.956999999999</v>
      </c>
      <c r="P61" s="325">
        <v>17102</v>
      </c>
      <c r="Q61" s="325">
        <v>17148</v>
      </c>
      <c r="R61" s="325">
        <v>17325</v>
      </c>
      <c r="S61" s="608">
        <v>17468</v>
      </c>
      <c r="T61" s="325">
        <v>17468</v>
      </c>
      <c r="V61" s="97" t="s">
        <v>68</v>
      </c>
      <c r="W61" s="325">
        <v>18741</v>
      </c>
      <c r="X61" s="325">
        <f>+[37]EEFF_Consolidados!X61</f>
        <v>19062</v>
      </c>
    </row>
    <row r="62" spans="2:24" ht="15.5" thickBot="1">
      <c r="B62" s="97" t="s">
        <v>58</v>
      </c>
      <c r="C62" s="21">
        <v>16569813</v>
      </c>
      <c r="D62" s="21">
        <v>17609166</v>
      </c>
      <c r="E62" s="21">
        <v>16116400</v>
      </c>
      <c r="F62" s="21">
        <v>14908284</v>
      </c>
      <c r="G62" s="21">
        <v>15015133</v>
      </c>
      <c r="H62" s="21">
        <v>16896526</v>
      </c>
      <c r="I62" s="21">
        <v>16821004</v>
      </c>
      <c r="J62" s="21">
        <v>17488539</v>
      </c>
      <c r="K62" s="21">
        <v>17313005</v>
      </c>
      <c r="L62" s="21">
        <v>16769982</v>
      </c>
      <c r="M62" s="21">
        <v>17490328</v>
      </c>
      <c r="N62" s="21">
        <v>16435742</v>
      </c>
      <c r="O62" s="21">
        <v>17130598.372000001</v>
      </c>
      <c r="P62" s="325">
        <v>18845990</v>
      </c>
      <c r="Q62" s="325">
        <v>20570903</v>
      </c>
      <c r="R62" s="325">
        <v>23844889</v>
      </c>
      <c r="S62" s="608">
        <v>22822894</v>
      </c>
      <c r="T62" s="325">
        <v>23435289</v>
      </c>
      <c r="V62" s="97" t="s">
        <v>58</v>
      </c>
      <c r="W62" s="325">
        <v>25723585</v>
      </c>
      <c r="X62" s="325">
        <f>+[37]EEFF_Consolidados!X62</f>
        <v>25621538</v>
      </c>
    </row>
    <row r="63" spans="2:24" ht="15.5" thickBot="1">
      <c r="B63" s="97" t="s">
        <v>69</v>
      </c>
      <c r="C63" s="21">
        <v>72931</v>
      </c>
      <c r="D63" s="21">
        <v>85778</v>
      </c>
      <c r="E63" s="21">
        <v>72025</v>
      </c>
      <c r="F63" s="21">
        <v>67498</v>
      </c>
      <c r="G63" s="21">
        <v>66431</v>
      </c>
      <c r="H63" s="21">
        <v>63359</v>
      </c>
      <c r="I63" s="21">
        <v>62277</v>
      </c>
      <c r="J63" s="21">
        <v>63439</v>
      </c>
      <c r="K63" s="21">
        <v>66037</v>
      </c>
      <c r="L63" s="21">
        <v>64808</v>
      </c>
      <c r="M63" s="21">
        <v>84407</v>
      </c>
      <c r="N63" s="21">
        <v>65428</v>
      </c>
      <c r="O63" s="21">
        <v>62449.442000000003</v>
      </c>
      <c r="P63" s="325">
        <v>64521</v>
      </c>
      <c r="Q63" s="325">
        <v>64648</v>
      </c>
      <c r="R63" s="325">
        <v>65549</v>
      </c>
      <c r="S63" s="608">
        <v>67821</v>
      </c>
      <c r="T63" s="325">
        <v>65599</v>
      </c>
      <c r="V63" s="97" t="s">
        <v>69</v>
      </c>
      <c r="W63" s="325">
        <v>72502</v>
      </c>
      <c r="X63" s="325">
        <f>+[37]EEFF_Consolidados!X63</f>
        <v>70677</v>
      </c>
    </row>
    <row r="64" spans="2:24" ht="15.5" thickBot="1">
      <c r="B64" s="97" t="s">
        <v>70</v>
      </c>
      <c r="C64" s="21">
        <v>7761835</v>
      </c>
      <c r="D64" s="21">
        <v>9056402</v>
      </c>
      <c r="E64" s="21">
        <v>9134609</v>
      </c>
      <c r="F64" s="21">
        <v>9545706</v>
      </c>
      <c r="G64" s="21">
        <v>9777637</v>
      </c>
      <c r="H64" s="21">
        <v>10195114</v>
      </c>
      <c r="I64" s="21">
        <v>10333190</v>
      </c>
      <c r="J64" s="21">
        <v>10256896</v>
      </c>
      <c r="K64" s="21">
        <v>10687625</v>
      </c>
      <c r="L64" s="21">
        <v>11095458</v>
      </c>
      <c r="M64" s="21">
        <v>12043453</v>
      </c>
      <c r="N64" s="21">
        <v>11747471</v>
      </c>
      <c r="O64" s="21">
        <v>12189428.210999999</v>
      </c>
      <c r="P64" s="605">
        <f>12179179+1</f>
        <v>12179180</v>
      </c>
      <c r="Q64" s="325">
        <v>12328996</v>
      </c>
      <c r="R64" s="325">
        <v>12578580</v>
      </c>
      <c r="S64" s="608">
        <v>12736366</v>
      </c>
      <c r="T64" s="325">
        <v>12973393</v>
      </c>
      <c r="V64" s="97" t="s">
        <v>70</v>
      </c>
      <c r="W64" s="325">
        <v>12796356</v>
      </c>
      <c r="X64" s="325">
        <f>+[37]EEFF_Consolidados!X64</f>
        <v>13287418</v>
      </c>
    </row>
    <row r="65" spans="2:24" ht="15.5" thickBot="1">
      <c r="B65" s="97" t="s">
        <v>71</v>
      </c>
      <c r="C65" s="21">
        <v>0</v>
      </c>
      <c r="D65" s="21">
        <v>0</v>
      </c>
      <c r="E65" s="21">
        <v>0</v>
      </c>
      <c r="F65" s="21">
        <v>0</v>
      </c>
      <c r="G65" s="21">
        <v>0</v>
      </c>
      <c r="H65" s="21">
        <v>0</v>
      </c>
      <c r="I65" s="21">
        <v>0</v>
      </c>
      <c r="J65" s="21">
        <v>0</v>
      </c>
      <c r="K65" s="21">
        <v>0</v>
      </c>
      <c r="L65" s="21">
        <v>0</v>
      </c>
      <c r="M65" s="21">
        <v>0</v>
      </c>
      <c r="N65" s="21">
        <v>0</v>
      </c>
      <c r="O65" s="21">
        <v>0</v>
      </c>
      <c r="P65" s="325">
        <v>0</v>
      </c>
      <c r="Q65" s="325">
        <v>0</v>
      </c>
      <c r="R65" s="325">
        <v>0</v>
      </c>
      <c r="S65" s="608">
        <v>0</v>
      </c>
      <c r="T65" s="325">
        <v>0</v>
      </c>
      <c r="V65" s="97" t="s">
        <v>71</v>
      </c>
      <c r="W65" s="325"/>
      <c r="X65" s="325">
        <f>+[37]EEFF_Consolidados!X65</f>
        <v>0</v>
      </c>
    </row>
    <row r="66" spans="2:24" ht="15.5" thickBot="1">
      <c r="B66" s="97" t="s">
        <v>72</v>
      </c>
      <c r="C66" s="21">
        <v>0</v>
      </c>
      <c r="D66" s="21">
        <v>0</v>
      </c>
      <c r="E66" s="21">
        <v>0</v>
      </c>
      <c r="F66" s="21">
        <v>0</v>
      </c>
      <c r="G66" s="21">
        <v>0</v>
      </c>
      <c r="H66" s="21">
        <v>0</v>
      </c>
      <c r="I66" s="21">
        <v>0</v>
      </c>
      <c r="J66" s="21">
        <v>0</v>
      </c>
      <c r="K66" s="21">
        <v>0</v>
      </c>
      <c r="L66" s="21">
        <v>0</v>
      </c>
      <c r="M66" s="21">
        <v>0</v>
      </c>
      <c r="N66" s="21">
        <v>0</v>
      </c>
      <c r="O66" s="21">
        <v>0</v>
      </c>
      <c r="P66" s="325">
        <v>0</v>
      </c>
      <c r="Q66" s="325">
        <v>0</v>
      </c>
      <c r="R66" s="325">
        <v>0</v>
      </c>
      <c r="S66" s="608">
        <v>0</v>
      </c>
      <c r="T66" s="325">
        <v>0</v>
      </c>
      <c r="V66" s="97" t="s">
        <v>72</v>
      </c>
      <c r="W66" s="325"/>
      <c r="X66" s="325">
        <f>+[37]EEFF_Consolidados!X66</f>
        <v>0</v>
      </c>
    </row>
    <row r="67" spans="2:24" ht="15.5" thickBot="1">
      <c r="B67" s="97" t="s">
        <v>73</v>
      </c>
      <c r="C67" s="21">
        <v>6179860</v>
      </c>
      <c r="D67" s="21">
        <v>6424494</v>
      </c>
      <c r="E67" s="21">
        <v>6010730</v>
      </c>
      <c r="F67" s="21">
        <v>6258157</v>
      </c>
      <c r="G67" s="21">
        <v>6297004</v>
      </c>
      <c r="H67" s="21">
        <v>6827331</v>
      </c>
      <c r="I67" s="21">
        <v>6639257</v>
      </c>
      <c r="J67" s="21">
        <v>6898749</v>
      </c>
      <c r="K67" s="21">
        <v>7331560</v>
      </c>
      <c r="L67" s="21">
        <v>7055014</v>
      </c>
      <c r="M67" s="21">
        <v>8583520</v>
      </c>
      <c r="N67" s="21">
        <v>8026572</v>
      </c>
      <c r="O67" s="21">
        <v>8948239.9680000003</v>
      </c>
      <c r="P67" s="325">
        <v>8277346</v>
      </c>
      <c r="Q67" s="325">
        <v>9435310</v>
      </c>
      <c r="R67" s="325">
        <v>9613978</v>
      </c>
      <c r="S67" s="608">
        <v>9763450</v>
      </c>
      <c r="T67" s="325">
        <v>10246813</v>
      </c>
      <c r="V67" s="97" t="s">
        <v>73</v>
      </c>
      <c r="W67" s="325">
        <v>9772257</v>
      </c>
      <c r="X67" s="325">
        <f>+[37]EEFF_Consolidados!X67</f>
        <v>10646635</v>
      </c>
    </row>
    <row r="68" spans="2:24" ht="15.5" thickBot="1">
      <c r="B68" s="97" t="s">
        <v>61</v>
      </c>
      <c r="C68" s="21">
        <v>67802</v>
      </c>
      <c r="D68" s="21">
        <v>65015</v>
      </c>
      <c r="E68" s="21">
        <v>58212</v>
      </c>
      <c r="F68" s="21">
        <v>60609</v>
      </c>
      <c r="G68" s="21">
        <v>60989</v>
      </c>
      <c r="H68" s="21">
        <v>93676</v>
      </c>
      <c r="I68" s="21">
        <v>97570</v>
      </c>
      <c r="J68" s="21">
        <v>97748</v>
      </c>
      <c r="K68" s="21">
        <v>96536</v>
      </c>
      <c r="L68" s="21">
        <v>106428</v>
      </c>
      <c r="M68" s="21">
        <v>96500</v>
      </c>
      <c r="N68" s="21">
        <v>70755</v>
      </c>
      <c r="O68" s="21">
        <v>78723.960999999996</v>
      </c>
      <c r="P68" s="325">
        <v>128094</v>
      </c>
      <c r="Q68" s="325">
        <v>174641</v>
      </c>
      <c r="R68" s="325">
        <v>176565</v>
      </c>
      <c r="S68" s="325">
        <v>180300</v>
      </c>
      <c r="T68" s="325">
        <v>168915</v>
      </c>
      <c r="V68" s="97" t="s">
        <v>61</v>
      </c>
      <c r="W68" s="325">
        <v>164657</v>
      </c>
      <c r="X68" s="325">
        <f>+[37]EEFF_Consolidados!X68</f>
        <v>144969</v>
      </c>
    </row>
    <row r="69" spans="2:24" ht="15.5" thickBot="1">
      <c r="B69" s="97" t="s">
        <v>74</v>
      </c>
      <c r="C69" s="21">
        <v>415450</v>
      </c>
      <c r="D69" s="21">
        <v>504264</v>
      </c>
      <c r="E69" s="21">
        <v>463029</v>
      </c>
      <c r="F69" s="21">
        <v>448246</v>
      </c>
      <c r="G69" s="21">
        <v>464027</v>
      </c>
      <c r="H69" s="21">
        <v>591278</v>
      </c>
      <c r="I69" s="21">
        <v>642483</v>
      </c>
      <c r="J69" s="21">
        <v>724702</v>
      </c>
      <c r="K69" s="21">
        <v>834493</v>
      </c>
      <c r="L69" s="21">
        <v>791388</v>
      </c>
      <c r="M69" s="21">
        <v>965854</v>
      </c>
      <c r="N69" s="21">
        <v>907704</v>
      </c>
      <c r="O69" s="21">
        <v>1018011.673</v>
      </c>
      <c r="P69" s="325">
        <v>1608436</v>
      </c>
      <c r="Q69" s="325">
        <v>1700617</v>
      </c>
      <c r="R69" s="325">
        <v>1816483</v>
      </c>
      <c r="S69" s="325">
        <v>2247971</v>
      </c>
      <c r="T69" s="325">
        <v>256432</v>
      </c>
      <c r="V69" s="97" t="s">
        <v>74</v>
      </c>
      <c r="W69" s="325">
        <v>247997</v>
      </c>
      <c r="X69" s="325">
        <f>+[37]EEFF_Consolidados!X69</f>
        <v>292548</v>
      </c>
    </row>
    <row r="70" spans="2:24" ht="15.5" thickBot="1">
      <c r="B70" s="97" t="s">
        <v>75</v>
      </c>
      <c r="C70" s="21">
        <v>0</v>
      </c>
      <c r="D70" s="21">
        <v>7401</v>
      </c>
      <c r="E70" s="21">
        <v>2980</v>
      </c>
      <c r="F70" s="21">
        <v>7459</v>
      </c>
      <c r="G70" s="21">
        <v>7074</v>
      </c>
      <c r="H70" s="21">
        <v>22514</v>
      </c>
      <c r="I70" s="21">
        <v>23831</v>
      </c>
      <c r="J70" s="21">
        <v>63565</v>
      </c>
      <c r="K70" s="21">
        <v>61386</v>
      </c>
      <c r="L70" s="21">
        <v>220311</v>
      </c>
      <c r="M70" s="21">
        <v>239071</v>
      </c>
      <c r="N70" s="21">
        <v>213124</v>
      </c>
      <c r="O70" s="21">
        <v>220874.481</v>
      </c>
      <c r="P70" s="325">
        <v>0</v>
      </c>
      <c r="Q70" s="325">
        <v>224684</v>
      </c>
      <c r="R70" s="325">
        <v>0</v>
      </c>
      <c r="S70" s="325">
        <v>0</v>
      </c>
      <c r="T70" s="325">
        <v>0</v>
      </c>
      <c r="V70" s="97" t="s">
        <v>75</v>
      </c>
      <c r="W70" s="325"/>
      <c r="X70" s="325">
        <f>+[37]EEFF_Consolidados!X70</f>
        <v>0</v>
      </c>
    </row>
    <row r="71" spans="2:24" ht="15.5" thickBot="1">
      <c r="B71" s="97" t="s">
        <v>76</v>
      </c>
      <c r="C71" s="21">
        <v>0</v>
      </c>
      <c r="D71" s="21">
        <v>0</v>
      </c>
      <c r="E71" s="21">
        <v>0</v>
      </c>
      <c r="F71" s="21">
        <v>0</v>
      </c>
      <c r="G71" s="21">
        <v>0</v>
      </c>
      <c r="H71" s="21">
        <v>0</v>
      </c>
      <c r="I71" s="21">
        <v>0</v>
      </c>
      <c r="J71" s="21">
        <v>0</v>
      </c>
      <c r="K71" s="21">
        <v>0</v>
      </c>
      <c r="L71" s="21">
        <v>1390</v>
      </c>
      <c r="M71" s="21">
        <v>0</v>
      </c>
      <c r="N71" s="21">
        <v>1782</v>
      </c>
      <c r="O71" s="21">
        <v>409.58699999999999</v>
      </c>
      <c r="P71" s="325">
        <v>0</v>
      </c>
      <c r="Q71" s="325">
        <v>379</v>
      </c>
      <c r="R71" s="325">
        <v>0</v>
      </c>
      <c r="S71" s="325">
        <v>0</v>
      </c>
      <c r="T71" s="325">
        <v>0</v>
      </c>
      <c r="V71" s="97" t="s">
        <v>76</v>
      </c>
      <c r="W71" s="325"/>
      <c r="X71" s="325">
        <f>+[37]EEFF_Consolidados!X71</f>
        <v>0</v>
      </c>
    </row>
    <row r="72" spans="2:24" ht="15.5" thickBot="1">
      <c r="B72" s="97" t="s">
        <v>62</v>
      </c>
      <c r="C72" s="21">
        <v>0</v>
      </c>
      <c r="D72" s="21">
        <v>0</v>
      </c>
      <c r="E72" s="21">
        <v>1216</v>
      </c>
      <c r="F72" s="21">
        <v>151</v>
      </c>
      <c r="G72" s="21">
        <v>2</v>
      </c>
      <c r="H72" s="21">
        <v>335</v>
      </c>
      <c r="I72" s="21">
        <v>389</v>
      </c>
      <c r="J72" s="21">
        <v>337</v>
      </c>
      <c r="K72" s="21">
        <v>337</v>
      </c>
      <c r="L72" s="21">
        <v>335</v>
      </c>
      <c r="M72" s="21">
        <v>337</v>
      </c>
      <c r="N72" s="21">
        <v>337</v>
      </c>
      <c r="O72" s="21">
        <v>336.62700000000001</v>
      </c>
      <c r="P72" s="605">
        <f>17289-2</f>
        <v>17287</v>
      </c>
      <c r="Q72" s="325">
        <v>19267</v>
      </c>
      <c r="R72" s="325">
        <v>337</v>
      </c>
      <c r="S72" s="325">
        <v>337</v>
      </c>
      <c r="T72" s="325">
        <v>335</v>
      </c>
      <c r="V72" s="97" t="s">
        <v>62</v>
      </c>
      <c r="W72" s="325">
        <v>0</v>
      </c>
      <c r="X72" s="325">
        <f>+[37]EEFF_Consolidados!X72</f>
        <v>335</v>
      </c>
    </row>
    <row r="73" spans="2:24" ht="15.5" thickBot="1">
      <c r="B73" s="95" t="s">
        <v>77</v>
      </c>
      <c r="C73" s="23">
        <v>32835212</v>
      </c>
      <c r="D73" s="23">
        <v>36987771</v>
      </c>
      <c r="E73" s="23">
        <v>34928799</v>
      </c>
      <c r="F73" s="23">
        <v>34199379</v>
      </c>
      <c r="G73" s="23">
        <v>34509162</v>
      </c>
      <c r="H73" s="23">
        <v>37943640</v>
      </c>
      <c r="I73" s="23">
        <v>37815662</v>
      </c>
      <c r="J73" s="23">
        <v>38832598</v>
      </c>
      <c r="K73" s="23">
        <v>39632012</v>
      </c>
      <c r="L73" s="23">
        <v>39343463</v>
      </c>
      <c r="M73" s="23">
        <v>42843643</v>
      </c>
      <c r="N73" s="23">
        <v>40731520</v>
      </c>
      <c r="O73" s="23">
        <v>42872111.616999999</v>
      </c>
      <c r="P73" s="328">
        <f t="shared" ref="P73" si="15">SUM(P58:P72)</f>
        <v>44485284</v>
      </c>
      <c r="Q73" s="328">
        <f t="shared" ref="Q73" si="16">SUM(Q58:Q72)</f>
        <v>48165046</v>
      </c>
      <c r="R73" s="328">
        <v>52183396</v>
      </c>
      <c r="S73" s="328">
        <f t="shared" ref="S73" si="17">SUM(S58:S72)</f>
        <v>51556960</v>
      </c>
      <c r="T73" s="328">
        <f t="shared" ref="T73" si="18">SUM(T58:T72)</f>
        <v>51028083</v>
      </c>
      <c r="V73" s="95" t="s">
        <v>77</v>
      </c>
      <c r="W73" s="328">
        <v>53193322</v>
      </c>
      <c r="X73" s="328">
        <f>+[37]EEFF_Consolidados!X73</f>
        <v>54715912</v>
      </c>
    </row>
    <row r="74" spans="2:24" ht="15.5" thickBot="1">
      <c r="B74" s="103" t="s">
        <v>78</v>
      </c>
      <c r="C74" s="24">
        <v>38508385</v>
      </c>
      <c r="D74" s="24">
        <v>43408501</v>
      </c>
      <c r="E74" s="24">
        <v>41580022</v>
      </c>
      <c r="F74" s="24">
        <v>40714888</v>
      </c>
      <c r="G74" s="24">
        <v>41898304</v>
      </c>
      <c r="H74" s="24">
        <v>44967854</v>
      </c>
      <c r="I74" s="24">
        <v>45027284</v>
      </c>
      <c r="J74" s="24">
        <v>47265664</v>
      </c>
      <c r="K74" s="24">
        <v>48240416</v>
      </c>
      <c r="L74" s="24">
        <v>48793244</v>
      </c>
      <c r="M74" s="24">
        <v>51340270</v>
      </c>
      <c r="N74" s="24">
        <v>49902156</v>
      </c>
      <c r="O74" s="24">
        <v>52280266.160999998</v>
      </c>
      <c r="P74" s="329">
        <f t="shared" ref="P74" si="19">+P56+P73</f>
        <v>54194069</v>
      </c>
      <c r="Q74" s="329">
        <f t="shared" ref="Q74" si="20">+Q56+Q73</f>
        <v>57636388</v>
      </c>
      <c r="R74" s="329">
        <v>62624186</v>
      </c>
      <c r="S74" s="329">
        <f t="shared" ref="S74:T74" si="21">+S56+S73</f>
        <v>62574311</v>
      </c>
      <c r="T74" s="329">
        <f t="shared" si="21"/>
        <v>61698186</v>
      </c>
      <c r="V74" s="103" t="s">
        <v>78</v>
      </c>
      <c r="W74" s="329">
        <v>64009251</v>
      </c>
      <c r="X74" s="329">
        <f>+[37]EEFF_Consolidados!X74</f>
        <v>66190347</v>
      </c>
    </row>
    <row r="75" spans="2:24" ht="15.5" thickBot="1">
      <c r="B75" s="106"/>
      <c r="C75" s="25"/>
      <c r="D75" s="25"/>
      <c r="E75" s="25"/>
      <c r="F75" s="25"/>
      <c r="G75" s="25"/>
      <c r="H75" s="25"/>
      <c r="I75" s="25"/>
      <c r="J75" s="25"/>
      <c r="K75" s="25"/>
      <c r="L75" s="25"/>
      <c r="M75" s="25"/>
      <c r="N75" s="25"/>
      <c r="O75" s="25"/>
      <c r="P75" s="360"/>
      <c r="S75" s="360"/>
      <c r="T75" s="360"/>
      <c r="V75" s="106"/>
      <c r="W75" s="360"/>
      <c r="X75" s="360">
        <f>+[37]EEFF_Consolidados!X75</f>
        <v>0</v>
      </c>
    </row>
    <row r="76" spans="2:24" ht="15.5" thickBot="1">
      <c r="B76" s="93" t="s">
        <v>79</v>
      </c>
      <c r="C76" s="26"/>
      <c r="D76" s="26"/>
      <c r="E76" s="26"/>
      <c r="F76" s="26"/>
      <c r="G76" s="26"/>
      <c r="H76" s="26"/>
      <c r="I76" s="26"/>
      <c r="J76" s="26"/>
      <c r="K76" s="26"/>
      <c r="L76" s="26"/>
      <c r="M76" s="26"/>
      <c r="N76" s="26"/>
      <c r="O76" s="26"/>
      <c r="P76" s="357"/>
      <c r="Q76" s="350"/>
      <c r="R76" s="357"/>
      <c r="S76" s="357"/>
      <c r="T76" s="357"/>
      <c r="V76" s="355" t="s">
        <v>79</v>
      </c>
      <c r="W76" s="357"/>
      <c r="X76" s="357"/>
    </row>
    <row r="77" spans="2:24" ht="15.5" thickBot="1">
      <c r="B77" s="95" t="s">
        <v>80</v>
      </c>
      <c r="C77" s="27"/>
      <c r="D77" s="27"/>
      <c r="E77" s="27"/>
      <c r="F77" s="27"/>
      <c r="G77" s="27"/>
      <c r="H77" s="27"/>
      <c r="I77" s="27"/>
      <c r="J77" s="27"/>
      <c r="K77" s="27"/>
      <c r="L77" s="27"/>
      <c r="M77" s="27"/>
      <c r="N77" s="27"/>
      <c r="O77" s="27"/>
      <c r="P77" s="358"/>
      <c r="Q77" s="351"/>
      <c r="R77" s="358"/>
      <c r="S77" s="358"/>
      <c r="T77" s="358"/>
      <c r="V77" s="95" t="s">
        <v>80</v>
      </c>
      <c r="W77" s="358"/>
      <c r="X77" s="358"/>
    </row>
    <row r="78" spans="2:24" ht="15.5" thickBot="1">
      <c r="B78" s="97" t="s">
        <v>81</v>
      </c>
      <c r="C78" s="21">
        <v>1674203</v>
      </c>
      <c r="D78" s="21">
        <v>1603839</v>
      </c>
      <c r="E78" s="21">
        <v>1412122</v>
      </c>
      <c r="F78" s="21">
        <v>1563656</v>
      </c>
      <c r="G78" s="21">
        <v>1614296</v>
      </c>
      <c r="H78" s="21">
        <v>1751632</v>
      </c>
      <c r="I78" s="21">
        <v>1592926</v>
      </c>
      <c r="J78" s="21">
        <v>1406427</v>
      </c>
      <c r="K78" s="21">
        <v>1787726</v>
      </c>
      <c r="L78" s="21">
        <v>1698041</v>
      </c>
      <c r="M78" s="21">
        <v>2222137</v>
      </c>
      <c r="N78" s="21">
        <v>2360855</v>
      </c>
      <c r="O78" s="21">
        <v>1590591.1680000001</v>
      </c>
      <c r="P78" s="325">
        <v>1266015</v>
      </c>
      <c r="Q78" s="325">
        <v>1586526</v>
      </c>
      <c r="R78" s="325">
        <v>2772660</v>
      </c>
      <c r="S78" s="325">
        <v>3029718</v>
      </c>
      <c r="T78" s="325">
        <v>2866267</v>
      </c>
      <c r="V78" s="97" t="s">
        <v>81</v>
      </c>
      <c r="W78" s="325">
        <v>2581547</v>
      </c>
      <c r="X78" s="325">
        <f>+[37]EEFF_Consolidados!X78</f>
        <v>2034435</v>
      </c>
    </row>
    <row r="79" spans="2:24" ht="15.5" thickBot="1">
      <c r="B79" s="97" t="s">
        <v>82</v>
      </c>
      <c r="C79" s="21">
        <v>905227</v>
      </c>
      <c r="D79" s="21">
        <v>779013</v>
      </c>
      <c r="E79" s="21">
        <v>1206346</v>
      </c>
      <c r="F79" s="21">
        <v>1133748</v>
      </c>
      <c r="G79" s="21">
        <v>762854</v>
      </c>
      <c r="H79" s="21">
        <v>635442</v>
      </c>
      <c r="I79" s="21">
        <v>1271533</v>
      </c>
      <c r="J79" s="21">
        <v>1202679</v>
      </c>
      <c r="K79" s="21">
        <v>887582</v>
      </c>
      <c r="L79" s="21">
        <v>973517</v>
      </c>
      <c r="M79" s="21">
        <v>1703190</v>
      </c>
      <c r="N79" s="21">
        <v>1444107</v>
      </c>
      <c r="O79" s="21">
        <v>1194236.534</v>
      </c>
      <c r="P79" s="325">
        <v>996573</v>
      </c>
      <c r="Q79" s="325">
        <v>2864357</v>
      </c>
      <c r="R79" s="325">
        <v>2328817</v>
      </c>
      <c r="S79" s="325">
        <v>1364141</v>
      </c>
      <c r="T79" s="325">
        <v>949140</v>
      </c>
      <c r="V79" s="97" t="s">
        <v>82</v>
      </c>
      <c r="W79" s="325">
        <v>1781819</v>
      </c>
      <c r="X79" s="325">
        <f>+[37]EEFF_Consolidados!X79</f>
        <v>1755325</v>
      </c>
    </row>
    <row r="80" spans="2:24" ht="15.5" thickBot="1">
      <c r="B80" s="97" t="s">
        <v>83</v>
      </c>
      <c r="C80" s="21">
        <v>0</v>
      </c>
      <c r="D80" s="21">
        <v>53</v>
      </c>
      <c r="E80" s="21">
        <v>68400</v>
      </c>
      <c r="F80" s="21">
        <v>2075</v>
      </c>
      <c r="G80" s="21">
        <v>99</v>
      </c>
      <c r="H80" s="21">
        <v>0</v>
      </c>
      <c r="I80" s="21">
        <v>0</v>
      </c>
      <c r="J80" s="21">
        <v>0</v>
      </c>
      <c r="K80" s="21">
        <v>62</v>
      </c>
      <c r="L80" s="21">
        <v>59</v>
      </c>
      <c r="M80" s="21">
        <v>75</v>
      </c>
      <c r="N80" s="21">
        <v>73</v>
      </c>
      <c r="O80" s="21">
        <v>0</v>
      </c>
      <c r="P80" s="325">
        <v>62</v>
      </c>
      <c r="Q80" s="325">
        <v>67</v>
      </c>
      <c r="R80" s="325">
        <v>68</v>
      </c>
      <c r="S80" s="325">
        <v>51</v>
      </c>
      <c r="T80" s="325">
        <v>0</v>
      </c>
      <c r="V80" s="97" t="s">
        <v>83</v>
      </c>
      <c r="W80" s="325"/>
      <c r="X80" s="325">
        <f>+[37]EEFF_Consolidados!X80</f>
        <v>0</v>
      </c>
    </row>
    <row r="81" spans="2:24" ht="15.5" thickBot="1">
      <c r="B81" s="97" t="s">
        <v>84</v>
      </c>
      <c r="C81" s="21">
        <v>73253</v>
      </c>
      <c r="D81" s="21">
        <v>83690</v>
      </c>
      <c r="E81" s="21">
        <v>61445</v>
      </c>
      <c r="F81" s="21">
        <v>70305</v>
      </c>
      <c r="G81" s="21">
        <v>84674</v>
      </c>
      <c r="H81" s="21">
        <v>99330</v>
      </c>
      <c r="I81" s="21">
        <v>89182</v>
      </c>
      <c r="J81" s="21">
        <v>91977</v>
      </c>
      <c r="K81" s="21">
        <v>117996</v>
      </c>
      <c r="L81" s="21">
        <v>101658</v>
      </c>
      <c r="M81" s="21">
        <v>95984</v>
      </c>
      <c r="N81" s="21">
        <v>102107</v>
      </c>
      <c r="O81" s="21">
        <v>128523.75199999999</v>
      </c>
      <c r="P81" s="325">
        <v>120979</v>
      </c>
      <c r="Q81" s="325">
        <v>108104</v>
      </c>
      <c r="R81" s="325">
        <v>117147</v>
      </c>
      <c r="S81" s="325">
        <v>138087</v>
      </c>
      <c r="T81" s="325">
        <v>140154</v>
      </c>
      <c r="V81" s="97" t="s">
        <v>84</v>
      </c>
      <c r="W81" s="325">
        <v>118930</v>
      </c>
      <c r="X81" s="325">
        <f>+[37]EEFF_Consolidados!X81</f>
        <v>128620</v>
      </c>
    </row>
    <row r="82" spans="2:24" ht="15.5" thickBot="1">
      <c r="B82" s="97" t="s">
        <v>59</v>
      </c>
      <c r="C82" s="21">
        <v>245065</v>
      </c>
      <c r="D82" s="21">
        <v>407912</v>
      </c>
      <c r="E82" s="21">
        <v>494984</v>
      </c>
      <c r="F82" s="21">
        <v>635223</v>
      </c>
      <c r="G82" s="21">
        <v>799047</v>
      </c>
      <c r="H82" s="21">
        <v>251656</v>
      </c>
      <c r="I82" s="21">
        <v>380708</v>
      </c>
      <c r="J82" s="21">
        <v>518227</v>
      </c>
      <c r="K82" s="21">
        <v>589799</v>
      </c>
      <c r="L82" s="21">
        <v>268197</v>
      </c>
      <c r="M82" s="21">
        <v>357015</v>
      </c>
      <c r="N82" s="21">
        <v>470736</v>
      </c>
      <c r="O82" s="21">
        <v>618913.03799999994</v>
      </c>
      <c r="P82" s="325">
        <v>376021</v>
      </c>
      <c r="Q82" s="325">
        <v>547982</v>
      </c>
      <c r="R82" s="325">
        <v>644816</v>
      </c>
      <c r="S82" s="325">
        <v>763735</v>
      </c>
      <c r="T82" s="325">
        <v>369353</v>
      </c>
      <c r="V82" s="97" t="s">
        <v>59</v>
      </c>
      <c r="W82" s="325">
        <v>382270</v>
      </c>
      <c r="X82" s="325">
        <f>+[37]EEFF_Consolidados!X82</f>
        <v>392333</v>
      </c>
    </row>
    <row r="83" spans="2:24" ht="15.5" thickBot="1">
      <c r="B83" s="97" t="s">
        <v>85</v>
      </c>
      <c r="C83" s="21">
        <v>537283</v>
      </c>
      <c r="D83" s="21">
        <v>121006</v>
      </c>
      <c r="E83" s="21">
        <v>116647</v>
      </c>
      <c r="F83" s="21">
        <v>128507</v>
      </c>
      <c r="G83" s="21">
        <v>125220</v>
      </c>
      <c r="H83" s="21">
        <v>95924</v>
      </c>
      <c r="I83" s="21">
        <v>141933</v>
      </c>
      <c r="J83" s="21">
        <v>140934</v>
      </c>
      <c r="K83" s="21">
        <v>146155</v>
      </c>
      <c r="L83" s="21">
        <v>551058</v>
      </c>
      <c r="M83" s="21">
        <v>334793</v>
      </c>
      <c r="N83" s="21">
        <v>275555</v>
      </c>
      <c r="O83" s="21">
        <v>277686.89199999999</v>
      </c>
      <c r="P83" s="325">
        <v>368985</v>
      </c>
      <c r="Q83" s="325">
        <v>404022</v>
      </c>
      <c r="R83" s="325">
        <v>418503</v>
      </c>
      <c r="S83" s="325">
        <v>392568</v>
      </c>
      <c r="T83" s="325">
        <v>154089</v>
      </c>
      <c r="V83" s="97" t="s">
        <v>85</v>
      </c>
      <c r="W83" s="325">
        <v>142509</v>
      </c>
      <c r="X83" s="325">
        <f>+[37]EEFF_Consolidados!X83</f>
        <v>150927</v>
      </c>
    </row>
    <row r="84" spans="2:24" ht="15.5" thickBot="1">
      <c r="B84" s="97" t="s">
        <v>86</v>
      </c>
      <c r="C84" s="21">
        <v>229713</v>
      </c>
      <c r="D84" s="21">
        <v>114763</v>
      </c>
      <c r="E84" s="21">
        <v>121031</v>
      </c>
      <c r="F84" s="21">
        <v>122952</v>
      </c>
      <c r="G84" s="21">
        <v>110771</v>
      </c>
      <c r="H84" s="21">
        <v>89795</v>
      </c>
      <c r="I84" s="21">
        <v>109794</v>
      </c>
      <c r="J84" s="21">
        <v>112964</v>
      </c>
      <c r="K84" s="21">
        <v>117632</v>
      </c>
      <c r="L84" s="21">
        <v>82557</v>
      </c>
      <c r="M84" s="21">
        <v>84482</v>
      </c>
      <c r="N84" s="21">
        <v>84413</v>
      </c>
      <c r="O84" s="21">
        <v>85246.808000000005</v>
      </c>
      <c r="P84" s="325">
        <v>274406</v>
      </c>
      <c r="Q84" s="325">
        <v>175774</v>
      </c>
      <c r="R84" s="325">
        <v>157508</v>
      </c>
      <c r="S84" s="325">
        <v>323252</v>
      </c>
      <c r="T84" s="325">
        <v>491046</v>
      </c>
      <c r="V84" s="97" t="s">
        <v>86</v>
      </c>
      <c r="W84" s="325">
        <v>385564</v>
      </c>
      <c r="X84" s="325">
        <f>+[37]EEFF_Consolidados!X84</f>
        <v>360425</v>
      </c>
    </row>
    <row r="85" spans="2:24" ht="15.5" thickBot="1">
      <c r="B85" s="97" t="s">
        <v>87</v>
      </c>
      <c r="C85" s="21">
        <v>0</v>
      </c>
      <c r="D85" s="21">
        <v>0</v>
      </c>
      <c r="E85" s="21">
        <v>219</v>
      </c>
      <c r="F85" s="21">
        <v>0</v>
      </c>
      <c r="G85" s="21">
        <v>0</v>
      </c>
      <c r="H85" s="21">
        <v>0</v>
      </c>
      <c r="I85" s="21">
        <v>0</v>
      </c>
      <c r="J85" s="21">
        <v>0</v>
      </c>
      <c r="K85" s="21">
        <v>0</v>
      </c>
      <c r="L85" s="21">
        <v>0</v>
      </c>
      <c r="M85" s="21">
        <v>0</v>
      </c>
      <c r="N85" s="21">
        <v>0</v>
      </c>
      <c r="O85" s="21">
        <v>0</v>
      </c>
      <c r="P85" s="325">
        <v>0</v>
      </c>
      <c r="Q85" s="325">
        <v>0</v>
      </c>
      <c r="R85" s="325">
        <v>0</v>
      </c>
      <c r="S85" s="325">
        <v>0</v>
      </c>
      <c r="T85" s="325">
        <v>0</v>
      </c>
      <c r="V85" s="97" t="s">
        <v>87</v>
      </c>
      <c r="W85" s="325"/>
      <c r="X85" s="325">
        <f>+[37]EEFF_Consolidados!X85</f>
        <v>0</v>
      </c>
    </row>
    <row r="86" spans="2:24" ht="15.5" thickBot="1">
      <c r="B86" s="95" t="s">
        <v>88</v>
      </c>
      <c r="C86" s="23">
        <v>3664744</v>
      </c>
      <c r="D86" s="23">
        <v>3110276</v>
      </c>
      <c r="E86" s="23">
        <v>3481194</v>
      </c>
      <c r="F86" s="23">
        <v>3656466</v>
      </c>
      <c r="G86" s="23">
        <v>3496961</v>
      </c>
      <c r="H86" s="23">
        <v>2923779</v>
      </c>
      <c r="I86" s="23">
        <v>3586076</v>
      </c>
      <c r="J86" s="23">
        <v>3473208</v>
      </c>
      <c r="K86" s="23">
        <v>3646952</v>
      </c>
      <c r="L86" s="23">
        <v>3675087</v>
      </c>
      <c r="M86" s="23">
        <v>4797676</v>
      </c>
      <c r="N86" s="23">
        <v>4737846</v>
      </c>
      <c r="O86" s="23">
        <v>3895198.1919999998</v>
      </c>
      <c r="P86" s="328">
        <f t="shared" ref="P86" si="22">SUM(P78:P85)</f>
        <v>3403041</v>
      </c>
      <c r="Q86" s="328">
        <f t="shared" ref="Q86" si="23">SUM(Q78:Q85)</f>
        <v>5686832</v>
      </c>
      <c r="R86" s="328">
        <v>6439519</v>
      </c>
      <c r="S86" s="328">
        <f t="shared" ref="S86" si="24">SUM(S78:S85)</f>
        <v>6011552</v>
      </c>
      <c r="T86" s="328">
        <f t="shared" ref="T86" si="25">SUM(T78:T85)</f>
        <v>4970049</v>
      </c>
      <c r="V86" s="95" t="s">
        <v>88</v>
      </c>
      <c r="W86" s="328">
        <v>5392639</v>
      </c>
      <c r="X86" s="328">
        <f>+[37]EEFF_Consolidados!X86</f>
        <v>4822065</v>
      </c>
    </row>
    <row r="87" spans="2:24" ht="15.5" thickBot="1">
      <c r="B87" s="111" t="s">
        <v>89</v>
      </c>
      <c r="C87" s="28"/>
      <c r="D87" s="28"/>
      <c r="E87" s="28"/>
      <c r="F87" s="28"/>
      <c r="G87" s="28"/>
      <c r="H87" s="28"/>
      <c r="I87" s="28"/>
      <c r="J87" s="28"/>
      <c r="K87" s="28"/>
      <c r="L87" s="28"/>
      <c r="M87" s="28"/>
      <c r="N87" s="28"/>
      <c r="O87" s="28"/>
      <c r="P87" s="359"/>
      <c r="Q87" s="352"/>
      <c r="R87" s="359"/>
      <c r="S87" s="359"/>
      <c r="T87" s="359"/>
      <c r="V87" s="111" t="s">
        <v>89</v>
      </c>
      <c r="W87" s="359"/>
      <c r="X87" s="359"/>
    </row>
    <row r="88" spans="2:24" ht="15.5" thickBot="1">
      <c r="B88" s="97" t="s">
        <v>81</v>
      </c>
      <c r="C88" s="21">
        <v>10797222</v>
      </c>
      <c r="D88" s="21">
        <v>14085189</v>
      </c>
      <c r="E88" s="21">
        <v>13786538</v>
      </c>
      <c r="F88" s="21">
        <v>13870661</v>
      </c>
      <c r="G88" s="21">
        <v>14522384</v>
      </c>
      <c r="H88" s="21">
        <v>15438954</v>
      </c>
      <c r="I88" s="21">
        <v>15477291</v>
      </c>
      <c r="J88" s="21">
        <v>16611023</v>
      </c>
      <c r="K88" s="21">
        <v>16604521</v>
      </c>
      <c r="L88" s="21">
        <v>16059516</v>
      </c>
      <c r="M88" s="21">
        <v>17827828</v>
      </c>
      <c r="N88" s="21">
        <v>17883592</v>
      </c>
      <c r="O88" s="21">
        <v>19779190.577</v>
      </c>
      <c r="P88" s="325">
        <v>21202820</v>
      </c>
      <c r="Q88" s="325">
        <v>22385117</v>
      </c>
      <c r="R88" s="325">
        <v>23361384</v>
      </c>
      <c r="S88" s="325">
        <v>23906515</v>
      </c>
      <c r="T88" s="325">
        <v>25074175</v>
      </c>
      <c r="V88" s="97" t="s">
        <v>81</v>
      </c>
      <c r="W88" s="325">
        <v>25388202</v>
      </c>
      <c r="X88" s="325">
        <f>+[37]EEFF_Consolidados!X88</f>
        <v>26868430</v>
      </c>
    </row>
    <row r="89" spans="2:24" ht="15.5" thickBot="1">
      <c r="B89" s="97" t="s">
        <v>82</v>
      </c>
      <c r="C89" s="21">
        <v>979227</v>
      </c>
      <c r="D89" s="21">
        <v>994998</v>
      </c>
      <c r="E89" s="21">
        <v>873259</v>
      </c>
      <c r="F89" s="21">
        <v>856131</v>
      </c>
      <c r="G89" s="21">
        <v>844531</v>
      </c>
      <c r="H89" s="21">
        <v>908158</v>
      </c>
      <c r="I89" s="21">
        <v>876310</v>
      </c>
      <c r="J89" s="21">
        <v>942608</v>
      </c>
      <c r="K89" s="21">
        <v>921570</v>
      </c>
      <c r="L89" s="21">
        <v>974314</v>
      </c>
      <c r="M89" s="21">
        <v>1018639</v>
      </c>
      <c r="N89" s="21">
        <v>1030325</v>
      </c>
      <c r="O89" s="21">
        <v>1078282.1229999999</v>
      </c>
      <c r="P89" s="325">
        <v>222268</v>
      </c>
      <c r="Q89" s="325">
        <v>1199239</v>
      </c>
      <c r="R89" s="325">
        <v>1201491</v>
      </c>
      <c r="S89" s="325">
        <v>241803</v>
      </c>
      <c r="T89" s="325">
        <v>215467</v>
      </c>
      <c r="V89" s="97" t="s">
        <v>82</v>
      </c>
      <c r="W89" s="325">
        <v>250428</v>
      </c>
      <c r="X89" s="325">
        <f>+[37]EEFF_Consolidados!X89</f>
        <v>221758</v>
      </c>
    </row>
    <row r="90" spans="2:24" ht="15.5" thickBot="1">
      <c r="B90" s="97" t="s">
        <v>90</v>
      </c>
      <c r="C90" s="21">
        <v>482</v>
      </c>
      <c r="D90" s="21">
        <v>294</v>
      </c>
      <c r="E90" s="21">
        <v>3143</v>
      </c>
      <c r="F90" s="21">
        <v>2471</v>
      </c>
      <c r="G90" s="21">
        <v>49</v>
      </c>
      <c r="H90" s="21">
        <v>0</v>
      </c>
      <c r="I90" s="21">
        <v>0</v>
      </c>
      <c r="J90" s="21">
        <v>0</v>
      </c>
      <c r="K90" s="21">
        <v>0</v>
      </c>
      <c r="L90" s="21">
        <v>0</v>
      </c>
      <c r="M90" s="21">
        <v>0</v>
      </c>
      <c r="N90" s="21">
        <v>0</v>
      </c>
      <c r="O90" s="21">
        <v>0</v>
      </c>
      <c r="P90" s="325">
        <v>0</v>
      </c>
      <c r="Q90" s="325">
        <v>0</v>
      </c>
      <c r="R90" s="325">
        <v>0</v>
      </c>
      <c r="S90" s="325">
        <v>-6</v>
      </c>
      <c r="T90" s="325">
        <v>0</v>
      </c>
      <c r="V90" s="97" t="s">
        <v>90</v>
      </c>
      <c r="W90" s="325"/>
      <c r="X90" s="325">
        <f>+[37]EEFF_Consolidados!X90</f>
        <v>0</v>
      </c>
    </row>
    <row r="91" spans="2:24" ht="15.5" thickBot="1">
      <c r="B91" s="97" t="s">
        <v>66</v>
      </c>
      <c r="C91" s="21">
        <v>1041742</v>
      </c>
      <c r="D91" s="21">
        <v>1054405</v>
      </c>
      <c r="E91" s="21">
        <v>958397</v>
      </c>
      <c r="F91" s="21">
        <v>855667</v>
      </c>
      <c r="G91" s="21">
        <v>851055</v>
      </c>
      <c r="H91" s="21">
        <v>986905</v>
      </c>
      <c r="I91" s="21">
        <v>975881</v>
      </c>
      <c r="J91" s="21">
        <v>1018136</v>
      </c>
      <c r="K91" s="21">
        <v>991260</v>
      </c>
      <c r="L91" s="21">
        <v>963722</v>
      </c>
      <c r="M91" s="21">
        <v>922503</v>
      </c>
      <c r="N91" s="21">
        <v>867949</v>
      </c>
      <c r="O91" s="21">
        <v>864277.34900000005</v>
      </c>
      <c r="P91" s="325">
        <v>869716</v>
      </c>
      <c r="Q91" s="325">
        <v>1002171</v>
      </c>
      <c r="R91" s="325">
        <v>1185693</v>
      </c>
      <c r="S91" s="325">
        <v>1153348</v>
      </c>
      <c r="T91" s="325">
        <v>1208927</v>
      </c>
      <c r="V91" s="97" t="s">
        <v>66</v>
      </c>
      <c r="W91" s="325">
        <v>1379322</v>
      </c>
      <c r="X91" s="325">
        <f>+[37]EEFF_Consolidados!X91</f>
        <v>1428158</v>
      </c>
    </row>
    <row r="92" spans="2:24" ht="15.5" thickBot="1">
      <c r="B92" s="97" t="s">
        <v>84</v>
      </c>
      <c r="C92" s="21">
        <v>457326</v>
      </c>
      <c r="D92" s="21">
        <v>490130</v>
      </c>
      <c r="E92" s="21">
        <v>498227</v>
      </c>
      <c r="F92" s="21">
        <v>503086</v>
      </c>
      <c r="G92" s="21">
        <v>498345</v>
      </c>
      <c r="H92" s="21">
        <v>390147</v>
      </c>
      <c r="I92" s="21">
        <v>401258</v>
      </c>
      <c r="J92" s="21">
        <v>407101</v>
      </c>
      <c r="K92" s="21">
        <v>416175</v>
      </c>
      <c r="L92" s="21">
        <v>465417</v>
      </c>
      <c r="M92" s="21">
        <v>474587</v>
      </c>
      <c r="N92" s="21">
        <v>484745</v>
      </c>
      <c r="O92" s="21">
        <v>491689.04800000001</v>
      </c>
      <c r="P92" s="325">
        <v>781100</v>
      </c>
      <c r="Q92" s="325">
        <v>793608</v>
      </c>
      <c r="R92" s="325">
        <v>844516</v>
      </c>
      <c r="S92" s="325">
        <v>838512</v>
      </c>
      <c r="T92" s="325">
        <v>769153</v>
      </c>
      <c r="V92" s="97" t="s">
        <v>84</v>
      </c>
      <c r="W92" s="325">
        <v>823569</v>
      </c>
      <c r="X92" s="325">
        <f>+[37]EEFF_Consolidados!X92</f>
        <v>837564</v>
      </c>
    </row>
    <row r="93" spans="2:24" ht="15.5" thickBot="1">
      <c r="B93" s="97" t="s">
        <v>85</v>
      </c>
      <c r="C93" s="21">
        <v>267893</v>
      </c>
      <c r="D93" s="21">
        <v>253275</v>
      </c>
      <c r="E93" s="21">
        <v>263566</v>
      </c>
      <c r="F93" s="21">
        <v>256831</v>
      </c>
      <c r="G93" s="21">
        <v>262263</v>
      </c>
      <c r="H93" s="21">
        <v>247497</v>
      </c>
      <c r="I93" s="21">
        <v>242271</v>
      </c>
      <c r="J93" s="21">
        <v>253075</v>
      </c>
      <c r="K93" s="21">
        <v>269538</v>
      </c>
      <c r="L93" s="21">
        <v>211188</v>
      </c>
      <c r="M93" s="21">
        <v>264140</v>
      </c>
      <c r="N93" s="21">
        <v>252228</v>
      </c>
      <c r="O93" s="21">
        <v>280326.23800000001</v>
      </c>
      <c r="P93" s="325">
        <v>247877</v>
      </c>
      <c r="Q93" s="325">
        <v>293984</v>
      </c>
      <c r="R93" s="325">
        <v>309852</v>
      </c>
      <c r="S93" s="325">
        <v>312828</v>
      </c>
      <c r="T93" s="325">
        <v>337270</v>
      </c>
      <c r="V93" s="97" t="s">
        <v>85</v>
      </c>
      <c r="W93" s="325">
        <v>338076</v>
      </c>
      <c r="X93" s="325">
        <f>+[37]EEFF_Consolidados!X93</f>
        <v>359333</v>
      </c>
    </row>
    <row r="94" spans="2:24" ht="15.5" thickBot="1">
      <c r="B94" s="97" t="s">
        <v>86</v>
      </c>
      <c r="C94" s="21">
        <v>401776</v>
      </c>
      <c r="D94" s="21">
        <v>490647</v>
      </c>
      <c r="E94" s="21">
        <v>466119</v>
      </c>
      <c r="F94" s="21">
        <v>481188</v>
      </c>
      <c r="G94" s="21">
        <v>502174</v>
      </c>
      <c r="H94" s="21">
        <v>499634</v>
      </c>
      <c r="I94" s="21">
        <v>488702</v>
      </c>
      <c r="J94" s="21">
        <v>477728</v>
      </c>
      <c r="K94" s="21">
        <v>483473</v>
      </c>
      <c r="L94" s="21">
        <v>499037</v>
      </c>
      <c r="M94" s="21">
        <v>513217</v>
      </c>
      <c r="N94" s="21">
        <v>486731</v>
      </c>
      <c r="O94" s="21">
        <v>476018.12599999999</v>
      </c>
      <c r="P94" s="325">
        <v>1541354</v>
      </c>
      <c r="Q94" s="325">
        <v>454777</v>
      </c>
      <c r="R94" s="325">
        <v>451281</v>
      </c>
      <c r="S94" s="325">
        <v>1298751</v>
      </c>
      <c r="T94" s="325">
        <v>1347113</v>
      </c>
      <c r="V94" s="97" t="s">
        <v>86</v>
      </c>
      <c r="W94" s="325">
        <v>1332162</v>
      </c>
      <c r="X94" s="325">
        <f>+[37]EEFF_Consolidados!X94</f>
        <v>1316542</v>
      </c>
    </row>
    <row r="95" spans="2:24" ht="15.5" thickBot="1">
      <c r="B95" s="97" t="s">
        <v>74</v>
      </c>
      <c r="C95" s="21">
        <v>3986495</v>
      </c>
      <c r="D95" s="21">
        <v>4505765</v>
      </c>
      <c r="E95" s="21">
        <v>4230824</v>
      </c>
      <c r="F95" s="21">
        <v>4023540</v>
      </c>
      <c r="G95" s="21">
        <v>4080568</v>
      </c>
      <c r="H95" s="21">
        <v>4630953</v>
      </c>
      <c r="I95" s="21">
        <v>4595558</v>
      </c>
      <c r="J95" s="21">
        <v>4757707</v>
      </c>
      <c r="K95" s="21">
        <v>4945150</v>
      </c>
      <c r="L95" s="21">
        <v>4841749</v>
      </c>
      <c r="M95" s="21">
        <v>5093887</v>
      </c>
      <c r="N95" s="21">
        <v>4926919</v>
      </c>
      <c r="O95" s="21">
        <v>5089269.8449999997</v>
      </c>
      <c r="P95" s="325">
        <v>5779700</v>
      </c>
      <c r="Q95" s="325">
        <v>6340649</v>
      </c>
      <c r="R95" s="325">
        <v>6936500</v>
      </c>
      <c r="S95" s="325">
        <v>7369836</v>
      </c>
      <c r="T95" s="325">
        <v>5643037</v>
      </c>
      <c r="V95" s="97" t="s">
        <v>74</v>
      </c>
      <c r="W95" s="325">
        <v>6033456</v>
      </c>
      <c r="X95" s="325">
        <f>+[37]EEFF_Consolidados!X95</f>
        <v>6052354</v>
      </c>
    </row>
    <row r="96" spans="2:24" ht="15.5" thickBot="1">
      <c r="B96" s="95" t="s">
        <v>91</v>
      </c>
      <c r="C96" s="23">
        <v>17932163</v>
      </c>
      <c r="D96" s="23">
        <v>21874703</v>
      </c>
      <c r="E96" s="23">
        <v>21080073</v>
      </c>
      <c r="F96" s="23">
        <v>20849575</v>
      </c>
      <c r="G96" s="23">
        <v>21561369</v>
      </c>
      <c r="H96" s="23">
        <v>23102248</v>
      </c>
      <c r="I96" s="23">
        <v>23057271</v>
      </c>
      <c r="J96" s="23">
        <v>24467378</v>
      </c>
      <c r="K96" s="23">
        <v>24631687</v>
      </c>
      <c r="L96" s="23">
        <v>24014943</v>
      </c>
      <c r="M96" s="23">
        <v>26114801</v>
      </c>
      <c r="N96" s="23">
        <v>25932489</v>
      </c>
      <c r="O96" s="23">
        <v>28059053.305999998</v>
      </c>
      <c r="P96" s="328">
        <f t="shared" ref="P96" si="26">SUM(P88:P95)</f>
        <v>30644835</v>
      </c>
      <c r="Q96" s="328">
        <v>32469545</v>
      </c>
      <c r="R96" s="328">
        <v>34290717</v>
      </c>
      <c r="S96" s="328">
        <f>SUM(S88:S95)</f>
        <v>35121587</v>
      </c>
      <c r="T96" s="328">
        <f>SUM(T88:T95)</f>
        <v>34595142</v>
      </c>
      <c r="V96" s="95" t="s">
        <v>91</v>
      </c>
      <c r="W96" s="328">
        <v>35545215</v>
      </c>
      <c r="X96" s="328">
        <f>+[37]EEFF_Consolidados!X96</f>
        <v>37084139</v>
      </c>
    </row>
    <row r="97" spans="2:24" ht="15.5" thickBot="1">
      <c r="B97" s="103" t="s">
        <v>92</v>
      </c>
      <c r="C97" s="24">
        <v>21596907</v>
      </c>
      <c r="D97" s="24">
        <v>24984979</v>
      </c>
      <c r="E97" s="24">
        <v>24561267</v>
      </c>
      <c r="F97" s="24">
        <v>24506041</v>
      </c>
      <c r="G97" s="24">
        <v>25058330</v>
      </c>
      <c r="H97" s="24">
        <v>26026027</v>
      </c>
      <c r="I97" s="24">
        <v>26643347</v>
      </c>
      <c r="J97" s="24">
        <v>27940586</v>
      </c>
      <c r="K97" s="24">
        <v>28278639</v>
      </c>
      <c r="L97" s="24">
        <v>27690030</v>
      </c>
      <c r="M97" s="24">
        <v>30912477</v>
      </c>
      <c r="N97" s="24">
        <v>30670335</v>
      </c>
      <c r="O97" s="24">
        <v>31954251.497999996</v>
      </c>
      <c r="P97" s="329">
        <f t="shared" ref="P97" si="27">+P86+P96</f>
        <v>34047876</v>
      </c>
      <c r="Q97" s="329">
        <v>38156377</v>
      </c>
      <c r="R97" s="329">
        <v>40730236</v>
      </c>
      <c r="S97" s="329">
        <f>+S86+S96</f>
        <v>41133139</v>
      </c>
      <c r="T97" s="329">
        <f>+T86+T96</f>
        <v>39565191</v>
      </c>
      <c r="V97" s="103" t="s">
        <v>92</v>
      </c>
      <c r="W97" s="329">
        <v>40937854</v>
      </c>
      <c r="X97" s="329">
        <f>+[37]EEFF_Consolidados!X97</f>
        <v>41906204</v>
      </c>
    </row>
    <row r="98" spans="2:24" ht="15.5" thickBot="1">
      <c r="B98" s="106"/>
      <c r="C98" s="25"/>
      <c r="D98" s="25"/>
      <c r="E98" s="25"/>
      <c r="F98" s="25"/>
      <c r="G98" s="25"/>
      <c r="H98" s="25"/>
      <c r="I98" s="25"/>
      <c r="J98" s="25"/>
      <c r="K98" s="25"/>
      <c r="L98" s="25"/>
      <c r="M98" s="25"/>
      <c r="N98" s="25"/>
      <c r="O98" s="25"/>
      <c r="P98" s="360"/>
      <c r="Q98" s="353"/>
      <c r="R98" s="360">
        <v>0</v>
      </c>
      <c r="S98" s="360"/>
      <c r="T98" s="360"/>
      <c r="V98" s="106"/>
      <c r="W98" s="360"/>
      <c r="X98" s="360">
        <f>+[37]EEFF_Consolidados!X98</f>
        <v>0</v>
      </c>
    </row>
    <row r="99" spans="2:24" ht="15.5" thickBot="1">
      <c r="B99" s="113" t="s">
        <v>93</v>
      </c>
      <c r="C99" s="28"/>
      <c r="D99" s="28"/>
      <c r="E99" s="28"/>
      <c r="F99" s="28"/>
      <c r="G99" s="28"/>
      <c r="H99" s="28"/>
      <c r="I99" s="28"/>
      <c r="J99" s="28"/>
      <c r="K99" s="28"/>
      <c r="L99" s="28"/>
      <c r="M99" s="28"/>
      <c r="N99" s="28"/>
      <c r="O99" s="28"/>
      <c r="P99" s="359"/>
      <c r="Q99" s="352"/>
      <c r="R99" s="359"/>
      <c r="S99" s="359"/>
      <c r="T99" s="359"/>
      <c r="V99" s="113" t="s">
        <v>93</v>
      </c>
      <c r="W99" s="359"/>
      <c r="X99" s="359"/>
    </row>
    <row r="100" spans="2:24" ht="15.5" thickBot="1">
      <c r="B100" s="97" t="s">
        <v>94</v>
      </c>
      <c r="C100" s="21">
        <v>36916</v>
      </c>
      <c r="D100" s="21">
        <v>36916</v>
      </c>
      <c r="E100" s="21">
        <v>36916</v>
      </c>
      <c r="F100" s="21">
        <v>36916</v>
      </c>
      <c r="G100" s="21">
        <v>36916</v>
      </c>
      <c r="H100" s="21">
        <v>36916</v>
      </c>
      <c r="I100" s="21">
        <v>36916</v>
      </c>
      <c r="J100" s="21">
        <v>36916</v>
      </c>
      <c r="K100" s="21">
        <v>36916</v>
      </c>
      <c r="L100" s="21">
        <v>36916</v>
      </c>
      <c r="M100" s="21">
        <v>36916</v>
      </c>
      <c r="N100" s="21">
        <v>36916</v>
      </c>
      <c r="O100" s="21">
        <v>36916.334999999999</v>
      </c>
      <c r="P100" s="325">
        <v>36916</v>
      </c>
      <c r="Q100" s="325">
        <v>36916</v>
      </c>
      <c r="R100" s="325">
        <v>36916</v>
      </c>
      <c r="S100" s="325">
        <v>36916</v>
      </c>
      <c r="T100" s="325">
        <v>36916</v>
      </c>
      <c r="V100" s="97" t="s">
        <v>94</v>
      </c>
      <c r="W100" s="325">
        <v>36916</v>
      </c>
      <c r="X100" s="325">
        <f>+[37]EEFF_Consolidados!X100</f>
        <v>36916</v>
      </c>
    </row>
    <row r="101" spans="2:24" ht="15.5" thickBot="1">
      <c r="B101" s="97" t="s">
        <v>95</v>
      </c>
      <c r="C101" s="21">
        <v>1428128</v>
      </c>
      <c r="D101" s="21">
        <v>1428128</v>
      </c>
      <c r="E101" s="21">
        <v>1428128</v>
      </c>
      <c r="F101" s="21">
        <v>1428128</v>
      </c>
      <c r="G101" s="21">
        <v>1428128</v>
      </c>
      <c r="H101" s="21">
        <v>1428128</v>
      </c>
      <c r="I101" s="21">
        <v>1428128</v>
      </c>
      <c r="J101" s="21">
        <v>1428128</v>
      </c>
      <c r="K101" s="21">
        <v>1428128</v>
      </c>
      <c r="L101" s="21">
        <v>1428128</v>
      </c>
      <c r="M101" s="21">
        <v>1428128</v>
      </c>
      <c r="N101" s="21">
        <v>1428128</v>
      </c>
      <c r="O101" s="21">
        <v>1428127.8910000001</v>
      </c>
      <c r="P101" s="325">
        <v>1428128</v>
      </c>
      <c r="Q101" s="325">
        <v>1428128</v>
      </c>
      <c r="R101" s="325">
        <v>1428128</v>
      </c>
      <c r="S101" s="325">
        <v>1428128</v>
      </c>
      <c r="T101" s="325">
        <v>1428128</v>
      </c>
      <c r="V101" s="97" t="s">
        <v>95</v>
      </c>
      <c r="W101" s="325">
        <v>1428128</v>
      </c>
      <c r="X101" s="325">
        <f>+[37]EEFF_Consolidados!X101</f>
        <v>1428128</v>
      </c>
    </row>
    <row r="102" spans="2:24" ht="15.5" thickBot="1">
      <c r="B102" s="97" t="s">
        <v>96</v>
      </c>
      <c r="C102" s="21">
        <v>1878709</v>
      </c>
      <c r="D102" s="21">
        <v>3585959</v>
      </c>
      <c r="E102" s="21">
        <v>4428306</v>
      </c>
      <c r="F102" s="21">
        <v>4428306</v>
      </c>
      <c r="G102" s="21">
        <v>4428306</v>
      </c>
      <c r="H102" s="21">
        <v>4428306</v>
      </c>
      <c r="I102" s="21">
        <v>5346023</v>
      </c>
      <c r="J102" s="21">
        <v>5346023</v>
      </c>
      <c r="K102" s="21">
        <v>5346023</v>
      </c>
      <c r="L102" s="21">
        <v>5346023</v>
      </c>
      <c r="M102" s="21">
        <v>6241845</v>
      </c>
      <c r="N102" s="21">
        <v>6241845</v>
      </c>
      <c r="O102" s="21">
        <v>6241845.2189999996</v>
      </c>
      <c r="P102" s="325">
        <v>6241845</v>
      </c>
      <c r="Q102" s="325">
        <v>6861491</v>
      </c>
      <c r="R102" s="325">
        <v>6861491</v>
      </c>
      <c r="S102" s="325">
        <v>6861491</v>
      </c>
      <c r="T102" s="325">
        <v>6861491</v>
      </c>
      <c r="V102" s="97" t="s">
        <v>96</v>
      </c>
      <c r="W102" s="325">
        <v>7690798</v>
      </c>
      <c r="X102" s="325">
        <f>+[37]EEFF_Consolidados!X102</f>
        <v>7690798</v>
      </c>
    </row>
    <row r="103" spans="2:24" ht="15.5" thickBot="1">
      <c r="B103" s="97" t="s">
        <v>97</v>
      </c>
      <c r="C103" s="21">
        <v>3232907</v>
      </c>
      <c r="D103" s="21">
        <v>3228134</v>
      </c>
      <c r="E103" s="21">
        <v>3223361</v>
      </c>
      <c r="F103" s="21">
        <v>3223361</v>
      </c>
      <c r="G103" s="21">
        <v>3223361</v>
      </c>
      <c r="H103" s="21">
        <v>3217227</v>
      </c>
      <c r="I103" s="21">
        <v>3212454</v>
      </c>
      <c r="J103" s="21">
        <v>3212454</v>
      </c>
      <c r="K103" s="21">
        <v>3212454</v>
      </c>
      <c r="L103" s="21">
        <v>3212454</v>
      </c>
      <c r="M103" s="21">
        <v>3207681</v>
      </c>
      <c r="N103" s="21">
        <v>3207681</v>
      </c>
      <c r="O103" s="21">
        <v>3207681.1860000002</v>
      </c>
      <c r="P103" s="325">
        <v>3207681</v>
      </c>
      <c r="Q103" s="325">
        <v>3203922</v>
      </c>
      <c r="R103" s="325">
        <v>3203922</v>
      </c>
      <c r="S103" s="325">
        <v>3203922</v>
      </c>
      <c r="T103" s="325">
        <v>3203921</v>
      </c>
      <c r="V103" s="97" t="s">
        <v>97</v>
      </c>
      <c r="W103" s="325">
        <v>3210907</v>
      </c>
      <c r="X103" s="325">
        <f>+[37]EEFF_Consolidados!X103</f>
        <v>3210907</v>
      </c>
    </row>
    <row r="104" spans="2:24" ht="15.5" thickBot="1">
      <c r="B104" s="97" t="s">
        <v>98</v>
      </c>
      <c r="C104" s="21">
        <v>2136629</v>
      </c>
      <c r="D104" s="21">
        <v>1437936</v>
      </c>
      <c r="E104" s="21">
        <v>297574</v>
      </c>
      <c r="F104" s="21">
        <v>529831</v>
      </c>
      <c r="G104" s="21">
        <v>942858</v>
      </c>
      <c r="H104" s="21">
        <v>1524382</v>
      </c>
      <c r="I104" s="21">
        <v>353125</v>
      </c>
      <c r="J104" s="21">
        <v>792215</v>
      </c>
      <c r="K104" s="21">
        <v>1198066</v>
      </c>
      <c r="L104" s="21">
        <v>1638732</v>
      </c>
      <c r="M104" s="21">
        <v>378507</v>
      </c>
      <c r="N104" s="21">
        <v>928923</v>
      </c>
      <c r="O104" s="21">
        <v>1412690.426</v>
      </c>
      <c r="P104" s="325">
        <v>2059191</v>
      </c>
      <c r="Q104" s="325">
        <v>507935</v>
      </c>
      <c r="R104" s="325">
        <v>1093826</v>
      </c>
      <c r="S104" s="325">
        <v>1215193</v>
      </c>
      <c r="T104" s="325">
        <v>1665536</v>
      </c>
      <c r="V104" s="97" t="s">
        <v>98</v>
      </c>
      <c r="W104" s="325">
        <v>431380</v>
      </c>
      <c r="X104" s="325">
        <f>+[37]EEFF_Consolidados!X104</f>
        <v>1101797</v>
      </c>
    </row>
    <row r="105" spans="2:24" ht="15.5" thickBot="1">
      <c r="B105" s="97" t="s">
        <v>99</v>
      </c>
      <c r="C105" s="21">
        <v>1150568</v>
      </c>
      <c r="D105" s="21">
        <v>1239964</v>
      </c>
      <c r="E105" s="21">
        <v>654756</v>
      </c>
      <c r="F105" s="21">
        <v>411702</v>
      </c>
      <c r="G105" s="21">
        <v>377232</v>
      </c>
      <c r="H105" s="21">
        <v>1234415</v>
      </c>
      <c r="I105" s="21">
        <v>1023603</v>
      </c>
      <c r="J105" s="21">
        <v>1090675</v>
      </c>
      <c r="K105" s="21">
        <v>1275496</v>
      </c>
      <c r="L105" s="21">
        <v>779923</v>
      </c>
      <c r="M105" s="21">
        <v>1451479</v>
      </c>
      <c r="N105" s="21">
        <v>527193</v>
      </c>
      <c r="O105" s="21">
        <v>910035.81700000004</v>
      </c>
      <c r="P105" s="325">
        <f>194014</f>
        <v>194014</v>
      </c>
      <c r="Q105" s="325">
        <v>745958</v>
      </c>
      <c r="R105" s="325">
        <v>1288773</v>
      </c>
      <c r="S105" s="325">
        <v>984049</v>
      </c>
      <c r="T105" s="325">
        <v>1167865</v>
      </c>
      <c r="V105" s="97" t="s">
        <v>99</v>
      </c>
      <c r="W105" s="325">
        <v>1562608</v>
      </c>
      <c r="X105" s="325">
        <f>+[37]EEFF_Consolidados!X105</f>
        <v>1547106</v>
      </c>
    </row>
    <row r="106" spans="2:24" ht="30.5" thickBot="1">
      <c r="B106" s="144" t="s">
        <v>100</v>
      </c>
      <c r="C106" s="29">
        <v>9863857</v>
      </c>
      <c r="D106" s="29">
        <v>10957037</v>
      </c>
      <c r="E106" s="29">
        <v>10069041</v>
      </c>
      <c r="F106" s="29">
        <v>10058244</v>
      </c>
      <c r="G106" s="29">
        <v>10436801</v>
      </c>
      <c r="H106" s="29">
        <v>11869374</v>
      </c>
      <c r="I106" s="29">
        <v>11400249</v>
      </c>
      <c r="J106" s="29">
        <v>11906411</v>
      </c>
      <c r="K106" s="29">
        <v>12497083</v>
      </c>
      <c r="L106" s="29">
        <v>12442176</v>
      </c>
      <c r="M106" s="29">
        <v>12744556</v>
      </c>
      <c r="N106" s="29">
        <v>12370686</v>
      </c>
      <c r="O106" s="29">
        <v>13237296.874</v>
      </c>
      <c r="P106" s="334">
        <f t="shared" ref="P106" si="28">SUM(P100:P105)</f>
        <v>13167775</v>
      </c>
      <c r="Q106" s="334">
        <f t="shared" ref="Q106" si="29">SUM(Q100:Q105)</f>
        <v>12784350</v>
      </c>
      <c r="R106" s="334">
        <v>13913056</v>
      </c>
      <c r="S106" s="334">
        <f t="shared" ref="S106" si="30">SUM(S100:S105)</f>
        <v>13729699</v>
      </c>
      <c r="T106" s="334">
        <f t="shared" ref="T106" si="31">SUM(T100:T105)</f>
        <v>14363857</v>
      </c>
      <c r="V106" s="144" t="s">
        <v>100</v>
      </c>
      <c r="W106" s="334">
        <v>14360737</v>
      </c>
      <c r="X106" s="334">
        <f>+[37]EEFF_Consolidados!X106</f>
        <v>15015652</v>
      </c>
    </row>
    <row r="107" spans="2:24" ht="15.5" thickBot="1">
      <c r="B107" s="145" t="s">
        <v>101</v>
      </c>
      <c r="C107" s="21">
        <v>7047621</v>
      </c>
      <c r="D107" s="21">
        <v>7466485</v>
      </c>
      <c r="E107" s="21">
        <v>6949714</v>
      </c>
      <c r="F107" s="21">
        <v>6150603</v>
      </c>
      <c r="G107" s="21">
        <v>6403173</v>
      </c>
      <c r="H107" s="21">
        <v>7072453</v>
      </c>
      <c r="I107" s="21">
        <v>6983688</v>
      </c>
      <c r="J107" s="21">
        <v>7418667</v>
      </c>
      <c r="K107" s="21">
        <v>7464694</v>
      </c>
      <c r="L107" s="21">
        <v>8661038</v>
      </c>
      <c r="M107" s="21">
        <v>7683237</v>
      </c>
      <c r="N107" s="21">
        <v>6861135</v>
      </c>
      <c r="O107" s="21">
        <v>7088717.7889999999</v>
      </c>
      <c r="P107" s="325">
        <v>6978418</v>
      </c>
      <c r="Q107" s="325">
        <v>6695661</v>
      </c>
      <c r="R107" s="325">
        <v>7980894</v>
      </c>
      <c r="S107" s="325">
        <v>7711473</v>
      </c>
      <c r="T107" s="325">
        <v>7769138</v>
      </c>
      <c r="V107" s="145" t="s">
        <v>101</v>
      </c>
      <c r="W107" s="325">
        <v>8710660</v>
      </c>
      <c r="X107" s="325">
        <f>+[37]EEFF_Consolidados!X107</f>
        <v>9268491</v>
      </c>
    </row>
    <row r="108" spans="2:24" ht="15.5" thickBot="1">
      <c r="B108" s="95" t="s">
        <v>102</v>
      </c>
      <c r="C108" s="23">
        <v>16911478</v>
      </c>
      <c r="D108" s="23">
        <v>18423522</v>
      </c>
      <c r="E108" s="23">
        <v>17018755</v>
      </c>
      <c r="F108" s="23">
        <v>16208847</v>
      </c>
      <c r="G108" s="23">
        <v>16839974</v>
      </c>
      <c r="H108" s="23">
        <v>18941827</v>
      </c>
      <c r="I108" s="23">
        <v>18383937</v>
      </c>
      <c r="J108" s="23">
        <v>19325078</v>
      </c>
      <c r="K108" s="23">
        <v>19961777</v>
      </c>
      <c r="L108" s="23">
        <v>21103214</v>
      </c>
      <c r="M108" s="23">
        <v>20427793</v>
      </c>
      <c r="N108" s="23">
        <v>19231821</v>
      </c>
      <c r="O108" s="23">
        <v>20326014.662999999</v>
      </c>
      <c r="P108" s="328">
        <f t="shared" ref="P108" si="32">+P106+P107</f>
        <v>20146193</v>
      </c>
      <c r="Q108" s="328">
        <f t="shared" ref="Q108" si="33">+Q106+Q107</f>
        <v>19480011</v>
      </c>
      <c r="R108" s="328">
        <v>21893950</v>
      </c>
      <c r="S108" s="328">
        <f t="shared" ref="S108:T108" si="34">+S106+S107</f>
        <v>21441172</v>
      </c>
      <c r="T108" s="328">
        <f t="shared" si="34"/>
        <v>22132995</v>
      </c>
      <c r="V108" s="95" t="s">
        <v>102</v>
      </c>
      <c r="W108" s="328">
        <v>23071397</v>
      </c>
      <c r="X108" s="328">
        <f>+[37]EEFF_Consolidados!X108</f>
        <v>24284143</v>
      </c>
    </row>
    <row r="109" spans="2:24" ht="15.5" thickBot="1">
      <c r="B109" s="114" t="s">
        <v>103</v>
      </c>
      <c r="C109" s="24">
        <v>38508385</v>
      </c>
      <c r="D109" s="24">
        <v>43408501</v>
      </c>
      <c r="E109" s="24">
        <v>41580022</v>
      </c>
      <c r="F109" s="24">
        <v>40714888</v>
      </c>
      <c r="G109" s="24">
        <v>41898304</v>
      </c>
      <c r="H109" s="24">
        <v>44967854</v>
      </c>
      <c r="I109" s="24">
        <v>45027284</v>
      </c>
      <c r="J109" s="24">
        <v>47265664</v>
      </c>
      <c r="K109" s="24">
        <v>48240416</v>
      </c>
      <c r="L109" s="24">
        <v>48793244</v>
      </c>
      <c r="M109" s="24">
        <v>51340270</v>
      </c>
      <c r="N109" s="24">
        <v>49902156</v>
      </c>
      <c r="O109" s="24">
        <v>52280266.160999998</v>
      </c>
      <c r="P109" s="329">
        <f t="shared" ref="P109" si="35">+P97+P108</f>
        <v>54194069</v>
      </c>
      <c r="Q109" s="329">
        <f t="shared" ref="Q109" si="36">+Q97+Q108</f>
        <v>57636388</v>
      </c>
      <c r="R109" s="329">
        <v>62624186</v>
      </c>
      <c r="S109" s="329">
        <f t="shared" ref="S109:T109" si="37">+S97+S108</f>
        <v>62574311</v>
      </c>
      <c r="T109" s="329">
        <f t="shared" si="37"/>
        <v>61698186</v>
      </c>
      <c r="V109" s="114" t="s">
        <v>103</v>
      </c>
      <c r="W109" s="329">
        <v>64009251</v>
      </c>
      <c r="X109" s="329">
        <f>+[37]EEFF_Consolidados!X109</f>
        <v>66190347</v>
      </c>
    </row>
    <row r="110" spans="2:24">
      <c r="B110" s="8"/>
      <c r="C110" s="30">
        <f>+C74-C97-C108</f>
        <v>0</v>
      </c>
      <c r="D110" s="30">
        <f t="shared" ref="D110:K110" si="38">+D74-D97-D108</f>
        <v>0</v>
      </c>
      <c r="E110" s="30">
        <f t="shared" si="38"/>
        <v>0</v>
      </c>
      <c r="F110" s="30">
        <f t="shared" si="38"/>
        <v>0</v>
      </c>
      <c r="G110" s="30">
        <f t="shared" si="38"/>
        <v>0</v>
      </c>
      <c r="H110" s="30">
        <f t="shared" si="38"/>
        <v>0</v>
      </c>
      <c r="I110" s="30">
        <f t="shared" si="38"/>
        <v>0</v>
      </c>
      <c r="J110" s="30">
        <f t="shared" si="38"/>
        <v>0</v>
      </c>
      <c r="K110" s="30">
        <f t="shared" si="38"/>
        <v>0</v>
      </c>
      <c r="L110" s="30"/>
      <c r="M110" s="30"/>
      <c r="N110" s="30"/>
      <c r="P110" s="335">
        <f t="shared" ref="P110" si="39">+P109-P74</f>
        <v>0</v>
      </c>
      <c r="Q110" s="335">
        <f t="shared" ref="Q110:S110" si="40">+Q109-Q74</f>
        <v>0</v>
      </c>
      <c r="R110" s="335">
        <f t="shared" si="40"/>
        <v>0</v>
      </c>
      <c r="S110" s="335">
        <f t="shared" si="40"/>
        <v>0</v>
      </c>
    </row>
    <row r="111" spans="2:24">
      <c r="C111" s="38">
        <f>+C36-C104</f>
        <v>0</v>
      </c>
      <c r="D111" s="38">
        <f>+D36-D104</f>
        <v>0</v>
      </c>
      <c r="E111" s="38">
        <f>+E36-E104</f>
        <v>0</v>
      </c>
      <c r="F111" s="38">
        <f>+F36+E36-F104</f>
        <v>0</v>
      </c>
      <c r="G111" s="38">
        <f>+G36+F36+E36-G104</f>
        <v>0</v>
      </c>
      <c r="H111" s="38">
        <f>+H36+G36+F36+E36-H104</f>
        <v>0</v>
      </c>
      <c r="I111" s="38">
        <f>+I36-I104</f>
        <v>0</v>
      </c>
      <c r="J111" s="38">
        <f>+J36+I36-J104</f>
        <v>0</v>
      </c>
      <c r="K111" s="38">
        <f>+K36+J36+I36-K104</f>
        <v>0</v>
      </c>
      <c r="L111" s="38"/>
      <c r="M111" s="38"/>
      <c r="N111" s="38"/>
      <c r="O111" s="38"/>
      <c r="P111" s="38"/>
    </row>
    <row r="112" spans="2:24">
      <c r="C112" s="38"/>
      <c r="D112" s="38"/>
      <c r="E112" s="38"/>
      <c r="F112" s="38"/>
      <c r="G112" s="38"/>
      <c r="H112" s="38"/>
      <c r="I112" s="38"/>
      <c r="J112" s="38"/>
      <c r="K112" s="38"/>
      <c r="L112" s="38"/>
      <c r="M112" s="38"/>
      <c r="N112" s="38"/>
      <c r="P112" s="46"/>
    </row>
    <row r="113" spans="6:16">
      <c r="F113" s="38"/>
      <c r="G113" s="38"/>
      <c r="H113" s="38"/>
      <c r="I113" s="38"/>
      <c r="J113" s="38"/>
      <c r="K113" s="38"/>
      <c r="L113" s="38"/>
      <c r="M113" s="38"/>
      <c r="N113" s="38"/>
      <c r="P113" s="46"/>
    </row>
  </sheetData>
  <phoneticPr fontId="204" type="noConversion"/>
  <hyperlinks>
    <hyperlink ref="A1" location="Contenido!A1" display="Volver al Contenido" xr:uid="{E0FB557F-B0C2-4ACF-9D2D-62B8A28A9139}"/>
  </hyperlinks>
  <pageMargins left="0.7" right="0.7" top="0.75" bottom="0.75" header="0.3" footer="0.3"/>
  <pageSetup orientation="portrait" horizontalDpi="300" verticalDpi="300" r:id="rId1"/>
  <customProperties>
    <customPr name="_pios_id" r:id="rId2"/>
    <customPr name="EpmWorksheetKeyString_GUID" r:id="rId3"/>
  </customPropertie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51D50-9B91-46F9-A14D-ED766B6B22CB}">
  <dimension ref="A1:N120"/>
  <sheetViews>
    <sheetView showGridLines="0" zoomScale="80" zoomScaleNormal="80" workbookViewId="0"/>
  </sheetViews>
  <sheetFormatPr baseColWidth="10" defaultRowHeight="14.5"/>
  <cols>
    <col min="1" max="1" width="11.81640625" bestFit="1" customWidth="1"/>
    <col min="3" max="3" width="29.1796875" style="688" customWidth="1"/>
    <col min="4" max="4" width="10.81640625" customWidth="1"/>
    <col min="5" max="5" width="47.81640625" style="56" bestFit="1" customWidth="1"/>
    <col min="6" max="6" width="17.6328125" customWidth="1"/>
    <col min="7" max="7" width="18.7265625" customWidth="1"/>
    <col min="8" max="8" width="19.36328125" customWidth="1"/>
    <col min="9" max="9" width="48.90625" style="628" bestFit="1" customWidth="1"/>
    <col min="10" max="10" width="11.81640625" style="628" bestFit="1" customWidth="1"/>
    <col min="11" max="12" width="11.81640625" bestFit="1" customWidth="1"/>
  </cols>
  <sheetData>
    <row r="1" spans="1:14">
      <c r="A1" s="4" t="s">
        <v>16</v>
      </c>
    </row>
    <row r="3" spans="1:14">
      <c r="A3" s="42"/>
      <c r="B3" s="42"/>
      <c r="C3" s="689"/>
      <c r="D3" s="42"/>
      <c r="E3" s="590"/>
      <c r="F3" s="42"/>
      <c r="G3" s="42"/>
      <c r="H3" s="42"/>
    </row>
    <row r="4" spans="1:14">
      <c r="A4" s="42"/>
      <c r="B4" s="42"/>
      <c r="C4" s="689"/>
      <c r="D4" s="42"/>
      <c r="E4" s="590"/>
      <c r="F4" s="42"/>
      <c r="G4" s="42"/>
      <c r="H4" s="42"/>
    </row>
    <row r="5" spans="1:14" ht="31" customHeight="1">
      <c r="A5" s="42"/>
      <c r="B5" s="42"/>
      <c r="C5" s="689"/>
      <c r="D5" s="695" t="s">
        <v>1151</v>
      </c>
      <c r="E5" s="695" t="s">
        <v>766</v>
      </c>
      <c r="F5" s="695" t="s">
        <v>1185</v>
      </c>
    </row>
    <row r="6" spans="1:14">
      <c r="A6" s="42"/>
      <c r="B6" s="42"/>
      <c r="C6" s="689"/>
      <c r="D6" s="687" t="s">
        <v>964</v>
      </c>
      <c r="E6" s="687" t="s">
        <v>1186</v>
      </c>
      <c r="F6" s="624">
        <v>46</v>
      </c>
    </row>
    <row r="7" spans="1:14">
      <c r="A7" s="42"/>
      <c r="B7" s="42"/>
      <c r="C7" s="689"/>
      <c r="D7" s="687" t="s">
        <v>965</v>
      </c>
      <c r="E7" s="687" t="s">
        <v>1060</v>
      </c>
      <c r="F7" s="624">
        <v>11</v>
      </c>
      <c r="H7" s="46"/>
    </row>
    <row r="8" spans="1:14">
      <c r="A8" s="42"/>
      <c r="B8" s="42"/>
      <c r="C8" s="689"/>
      <c r="D8" s="687" t="s">
        <v>966</v>
      </c>
      <c r="E8" s="687" t="s">
        <v>1187</v>
      </c>
      <c r="F8" s="624">
        <v>1</v>
      </c>
      <c r="H8" s="46"/>
    </row>
    <row r="9" spans="1:14">
      <c r="A9" s="42"/>
      <c r="B9" s="42"/>
      <c r="C9" s="689"/>
      <c r="D9" s="687" t="s">
        <v>967</v>
      </c>
      <c r="E9" s="687" t="s">
        <v>1061</v>
      </c>
      <c r="F9" s="624">
        <v>4</v>
      </c>
      <c r="H9" s="46"/>
    </row>
    <row r="10" spans="1:14">
      <c r="A10" s="42"/>
      <c r="B10" s="42"/>
      <c r="C10" s="689"/>
      <c r="D10" s="687" t="s">
        <v>968</v>
      </c>
      <c r="E10" s="687" t="s">
        <v>1188</v>
      </c>
      <c r="F10" s="624">
        <v>3</v>
      </c>
      <c r="H10" s="46"/>
    </row>
    <row r="11" spans="1:14">
      <c r="A11" s="42"/>
      <c r="B11" s="42"/>
      <c r="C11" s="689"/>
      <c r="D11" s="815" t="s">
        <v>1091</v>
      </c>
      <c r="E11" s="816"/>
      <c r="F11" s="624">
        <v>1</v>
      </c>
      <c r="H11" s="46"/>
    </row>
    <row r="12" spans="1:14">
      <c r="A12" s="42"/>
      <c r="B12" s="42"/>
      <c r="C12" s="689"/>
      <c r="D12" s="817" t="s">
        <v>1189</v>
      </c>
      <c r="E12" s="818"/>
      <c r="F12" s="625">
        <v>66</v>
      </c>
      <c r="G12" s="42"/>
      <c r="H12" s="42"/>
    </row>
    <row r="13" spans="1:14">
      <c r="A13" s="42"/>
      <c r="B13" s="42"/>
      <c r="C13" s="689"/>
      <c r="D13" s="42"/>
      <c r="E13" s="590"/>
      <c r="F13" s="42"/>
      <c r="G13" s="42"/>
      <c r="H13" s="42"/>
    </row>
    <row r="14" spans="1:14" s="78" customFormat="1" ht="46.5">
      <c r="A14" s="281"/>
      <c r="B14" s="692" t="s">
        <v>1151</v>
      </c>
      <c r="C14" s="693" t="s">
        <v>1152</v>
      </c>
      <c r="D14" s="694" t="s">
        <v>414</v>
      </c>
      <c r="E14" s="694" t="s">
        <v>1153</v>
      </c>
      <c r="F14" s="692" t="s">
        <v>969</v>
      </c>
      <c r="G14" s="692" t="s">
        <v>970</v>
      </c>
      <c r="H14" s="692" t="s">
        <v>971</v>
      </c>
      <c r="I14" s="694" t="s">
        <v>972</v>
      </c>
      <c r="J14" s="691"/>
    </row>
    <row r="15" spans="1:14">
      <c r="A15" s="42"/>
      <c r="B15" s="687" t="s">
        <v>964</v>
      </c>
      <c r="C15" s="690" t="s">
        <v>1154</v>
      </c>
      <c r="D15" s="588" t="s">
        <v>1155</v>
      </c>
      <c r="E15" s="588" t="s">
        <v>973</v>
      </c>
      <c r="F15" s="687">
        <v>1</v>
      </c>
      <c r="G15" s="687"/>
      <c r="H15" s="687">
        <v>1</v>
      </c>
      <c r="I15" s="588"/>
      <c r="J15" s="42"/>
      <c r="K15" s="42"/>
      <c r="L15" s="42"/>
      <c r="M15" s="42"/>
      <c r="N15" s="42"/>
    </row>
    <row r="16" spans="1:14">
      <c r="A16" s="42"/>
      <c r="B16" s="800" t="s">
        <v>964</v>
      </c>
      <c r="C16" s="800" t="s">
        <v>1154</v>
      </c>
      <c r="D16" s="800" t="s">
        <v>1156</v>
      </c>
      <c r="E16" s="800" t="s">
        <v>974</v>
      </c>
      <c r="F16" s="809"/>
      <c r="G16" s="809">
        <v>0.99999940747407889</v>
      </c>
      <c r="H16" s="809">
        <v>0.99999940747407889</v>
      </c>
      <c r="I16" s="588" t="s">
        <v>1008</v>
      </c>
    </row>
    <row r="17" spans="1:9">
      <c r="A17" s="42"/>
      <c r="B17" s="802"/>
      <c r="C17" s="802"/>
      <c r="D17" s="804"/>
      <c r="E17" s="802"/>
      <c r="F17" s="808"/>
      <c r="G17" s="808"/>
      <c r="H17" s="808"/>
      <c r="I17" s="588" t="s">
        <v>1032</v>
      </c>
    </row>
    <row r="18" spans="1:9">
      <c r="A18" s="42"/>
      <c r="B18" s="588" t="s">
        <v>967</v>
      </c>
      <c r="C18" s="588" t="s">
        <v>1157</v>
      </c>
      <c r="D18" s="588" t="s">
        <v>1158</v>
      </c>
      <c r="E18" s="588" t="s">
        <v>975</v>
      </c>
      <c r="F18" s="626"/>
      <c r="G18" s="626">
        <v>0.35811447648560002</v>
      </c>
      <c r="H18" s="626">
        <v>0.35811447648560002</v>
      </c>
      <c r="I18" s="588" t="s">
        <v>982</v>
      </c>
    </row>
    <row r="19" spans="1:9">
      <c r="A19" s="42"/>
      <c r="B19" s="589" t="s">
        <v>966</v>
      </c>
      <c r="C19" s="589" t="s">
        <v>1159</v>
      </c>
      <c r="D19" s="589" t="s">
        <v>1160</v>
      </c>
      <c r="E19" s="589" t="s">
        <v>976</v>
      </c>
      <c r="F19" s="627">
        <v>0.2469509</v>
      </c>
      <c r="G19" s="627"/>
      <c r="H19" s="627">
        <v>0.2469509</v>
      </c>
      <c r="I19" s="588"/>
    </row>
    <row r="20" spans="1:9">
      <c r="A20" s="42"/>
      <c r="B20" s="800" t="s">
        <v>967</v>
      </c>
      <c r="C20" s="800" t="s">
        <v>1157</v>
      </c>
      <c r="D20" s="800" t="s">
        <v>1158</v>
      </c>
      <c r="E20" s="800" t="s">
        <v>977</v>
      </c>
      <c r="F20" s="809"/>
      <c r="G20" s="809">
        <v>0.17059100421760004</v>
      </c>
      <c r="H20" s="809">
        <v>0.17059100421760004</v>
      </c>
      <c r="I20" s="588" t="s">
        <v>982</v>
      </c>
    </row>
    <row r="21" spans="1:9">
      <c r="A21" s="42"/>
      <c r="B21" s="801"/>
      <c r="C21" s="801"/>
      <c r="D21" s="803"/>
      <c r="E21" s="803"/>
      <c r="F21" s="810"/>
      <c r="G21" s="810"/>
      <c r="H21" s="810"/>
      <c r="I21" s="588" t="s">
        <v>991</v>
      </c>
    </row>
    <row r="22" spans="1:9">
      <c r="A22" s="42"/>
      <c r="B22" s="801"/>
      <c r="C22" s="801"/>
      <c r="D22" s="803"/>
      <c r="E22" s="803"/>
      <c r="F22" s="810"/>
      <c r="G22" s="810"/>
      <c r="H22" s="810"/>
      <c r="I22" s="588" t="s">
        <v>996</v>
      </c>
    </row>
    <row r="23" spans="1:9">
      <c r="A23" s="42"/>
      <c r="B23" s="802"/>
      <c r="C23" s="802"/>
      <c r="D23" s="804"/>
      <c r="E23" s="804"/>
      <c r="F23" s="808"/>
      <c r="G23" s="808"/>
      <c r="H23" s="808"/>
      <c r="I23" s="588" t="s">
        <v>1001</v>
      </c>
    </row>
    <row r="24" spans="1:9">
      <c r="A24" s="42"/>
      <c r="B24" s="800" t="s">
        <v>967</v>
      </c>
      <c r="C24" s="800" t="s">
        <v>1157</v>
      </c>
      <c r="D24" s="800" t="s">
        <v>1158</v>
      </c>
      <c r="E24" s="800" t="s">
        <v>978</v>
      </c>
      <c r="F24" s="809"/>
      <c r="G24" s="809">
        <v>0.35769944868480003</v>
      </c>
      <c r="H24" s="809">
        <v>0.35769944868480003</v>
      </c>
      <c r="I24" s="588" t="s">
        <v>1161</v>
      </c>
    </row>
    <row r="25" spans="1:9">
      <c r="A25" s="42"/>
      <c r="B25" s="801"/>
      <c r="C25" s="801"/>
      <c r="D25" s="803"/>
      <c r="E25" s="803"/>
      <c r="F25" s="810"/>
      <c r="G25" s="810"/>
      <c r="H25" s="810"/>
      <c r="I25" s="588" t="s">
        <v>1162</v>
      </c>
    </row>
    <row r="26" spans="1:9">
      <c r="A26" s="42"/>
      <c r="B26" s="801"/>
      <c r="C26" s="801"/>
      <c r="D26" s="803"/>
      <c r="E26" s="803"/>
      <c r="F26" s="810"/>
      <c r="G26" s="810"/>
      <c r="H26" s="810"/>
      <c r="I26" s="588" t="s">
        <v>1163</v>
      </c>
    </row>
    <row r="27" spans="1:9">
      <c r="A27" s="42"/>
      <c r="B27" s="801"/>
      <c r="C27" s="801"/>
      <c r="D27" s="803"/>
      <c r="E27" s="803"/>
      <c r="F27" s="810"/>
      <c r="G27" s="810"/>
      <c r="H27" s="810"/>
      <c r="I27" s="588" t="s">
        <v>1164</v>
      </c>
    </row>
    <row r="28" spans="1:9">
      <c r="A28" s="42"/>
      <c r="B28" s="801"/>
      <c r="C28" s="801"/>
      <c r="D28" s="803"/>
      <c r="E28" s="803"/>
      <c r="F28" s="810"/>
      <c r="G28" s="810"/>
      <c r="H28" s="810"/>
      <c r="I28" s="588" t="s">
        <v>1165</v>
      </c>
    </row>
    <row r="29" spans="1:9">
      <c r="A29" s="42"/>
      <c r="B29" s="801"/>
      <c r="C29" s="801"/>
      <c r="D29" s="803"/>
      <c r="E29" s="803"/>
      <c r="F29" s="810"/>
      <c r="G29" s="810"/>
      <c r="H29" s="810"/>
      <c r="I29" s="588" t="s">
        <v>1166</v>
      </c>
    </row>
    <row r="30" spans="1:9">
      <c r="A30" s="42"/>
      <c r="B30" s="801"/>
      <c r="C30" s="801"/>
      <c r="D30" s="803"/>
      <c r="E30" s="803"/>
      <c r="F30" s="810"/>
      <c r="G30" s="810"/>
      <c r="H30" s="810"/>
      <c r="I30" s="588" t="s">
        <v>1167</v>
      </c>
    </row>
    <row r="31" spans="1:9">
      <c r="A31" s="42"/>
      <c r="B31" s="802"/>
      <c r="C31" s="802"/>
      <c r="D31" s="804"/>
      <c r="E31" s="804"/>
      <c r="F31" s="808"/>
      <c r="G31" s="808"/>
      <c r="H31" s="808"/>
      <c r="I31" s="588" t="s">
        <v>1168</v>
      </c>
    </row>
    <row r="32" spans="1:9">
      <c r="A32" s="42"/>
      <c r="B32" s="800" t="s">
        <v>964</v>
      </c>
      <c r="C32" s="800" t="s">
        <v>1154</v>
      </c>
      <c r="D32" s="800" t="s">
        <v>1156</v>
      </c>
      <c r="E32" s="800" t="s">
        <v>979</v>
      </c>
      <c r="F32" s="809"/>
      <c r="G32" s="809">
        <v>0.9999994074741364</v>
      </c>
      <c r="H32" s="809">
        <v>0.9999994074741364</v>
      </c>
      <c r="I32" s="588" t="s">
        <v>1008</v>
      </c>
    </row>
    <row r="33" spans="1:9">
      <c r="A33" s="42"/>
      <c r="B33" s="802"/>
      <c r="C33" s="802"/>
      <c r="D33" s="804"/>
      <c r="E33" s="804"/>
      <c r="F33" s="808"/>
      <c r="G33" s="808"/>
      <c r="H33" s="808"/>
      <c r="I33" s="588" t="s">
        <v>1032</v>
      </c>
    </row>
    <row r="34" spans="1:9">
      <c r="A34" s="42"/>
      <c r="B34" s="589" t="s">
        <v>964</v>
      </c>
      <c r="C34" s="690" t="s">
        <v>1154</v>
      </c>
      <c r="D34" s="589" t="s">
        <v>1155</v>
      </c>
      <c r="E34" s="589" t="s">
        <v>1169</v>
      </c>
      <c r="F34" s="626"/>
      <c r="G34" s="626">
        <v>0.99999940747408667</v>
      </c>
      <c r="H34" s="626">
        <v>0.99999940747408667</v>
      </c>
      <c r="I34" s="588" t="s">
        <v>1007</v>
      </c>
    </row>
    <row r="35" spans="1:9">
      <c r="A35" s="42"/>
      <c r="B35" s="588" t="s">
        <v>964</v>
      </c>
      <c r="C35" s="588" t="s">
        <v>1170</v>
      </c>
      <c r="D35" s="588" t="s">
        <v>1171</v>
      </c>
      <c r="E35" s="588" t="s">
        <v>980</v>
      </c>
      <c r="F35" s="626">
        <v>1</v>
      </c>
      <c r="G35" s="626"/>
      <c r="H35" s="626">
        <v>1</v>
      </c>
      <c r="I35" s="588"/>
    </row>
    <row r="36" spans="1:9">
      <c r="A36" s="42"/>
      <c r="B36" s="588" t="s">
        <v>968</v>
      </c>
      <c r="C36" s="690" t="s">
        <v>1170</v>
      </c>
      <c r="D36" s="588" t="s">
        <v>1155</v>
      </c>
      <c r="E36" s="588" t="s">
        <v>981</v>
      </c>
      <c r="F36" s="626"/>
      <c r="G36" s="626">
        <v>7.6764375727200004E-2</v>
      </c>
      <c r="H36" s="626">
        <v>7.6764375727200004E-2</v>
      </c>
      <c r="I36" s="588" t="s">
        <v>1035</v>
      </c>
    </row>
    <row r="37" spans="1:9">
      <c r="A37" s="42"/>
      <c r="B37" s="588" t="s">
        <v>964</v>
      </c>
      <c r="C37" s="588" t="s">
        <v>1172</v>
      </c>
      <c r="D37" s="588" t="s">
        <v>1158</v>
      </c>
      <c r="E37" s="588" t="s">
        <v>982</v>
      </c>
      <c r="F37" s="626"/>
      <c r="G37" s="626">
        <v>0.358184</v>
      </c>
      <c r="H37" s="626">
        <v>0.358184</v>
      </c>
      <c r="I37" s="588" t="s">
        <v>1012</v>
      </c>
    </row>
    <row r="38" spans="1:9">
      <c r="A38" s="42"/>
      <c r="B38" s="589" t="s">
        <v>964</v>
      </c>
      <c r="C38" s="589" t="s">
        <v>1172</v>
      </c>
      <c r="D38" s="589" t="s">
        <v>375</v>
      </c>
      <c r="E38" s="589" t="s">
        <v>983</v>
      </c>
      <c r="F38" s="626">
        <v>0.6</v>
      </c>
      <c r="G38" s="626"/>
      <c r="H38" s="626">
        <v>0.6</v>
      </c>
      <c r="I38" s="588"/>
    </row>
    <row r="39" spans="1:9">
      <c r="A39" s="42"/>
      <c r="B39" s="800" t="s">
        <v>965</v>
      </c>
      <c r="C39" s="812" t="s">
        <v>1170</v>
      </c>
      <c r="D39" s="800" t="s">
        <v>1155</v>
      </c>
      <c r="E39" s="800" t="s">
        <v>984</v>
      </c>
      <c r="F39" s="809"/>
      <c r="G39" s="809">
        <v>0.40351795272599916</v>
      </c>
      <c r="H39" s="809">
        <v>0.40351795272599916</v>
      </c>
      <c r="I39" s="588" t="s">
        <v>1028</v>
      </c>
    </row>
    <row r="40" spans="1:9">
      <c r="A40" s="42"/>
      <c r="B40" s="802"/>
      <c r="C40" s="814"/>
      <c r="D40" s="804"/>
      <c r="E40" s="804"/>
      <c r="F40" s="808"/>
      <c r="G40" s="808"/>
      <c r="H40" s="808"/>
      <c r="I40" s="588" t="s">
        <v>1035</v>
      </c>
    </row>
    <row r="41" spans="1:9">
      <c r="A41" s="42"/>
      <c r="B41" s="588" t="s">
        <v>968</v>
      </c>
      <c r="C41" s="588" t="s">
        <v>1172</v>
      </c>
      <c r="D41" s="588" t="s">
        <v>1173</v>
      </c>
      <c r="E41" s="588" t="s">
        <v>985</v>
      </c>
      <c r="F41" s="626">
        <v>0.1111</v>
      </c>
      <c r="G41" s="626"/>
      <c r="H41" s="626">
        <v>0.1111</v>
      </c>
      <c r="I41" s="588"/>
    </row>
    <row r="42" spans="1:9">
      <c r="A42" s="42"/>
      <c r="B42" s="589" t="s">
        <v>965</v>
      </c>
      <c r="C42" s="588" t="s">
        <v>1172</v>
      </c>
      <c r="D42" s="589" t="s">
        <v>1158</v>
      </c>
      <c r="E42" s="589" t="s">
        <v>986</v>
      </c>
      <c r="F42" s="626"/>
      <c r="G42" s="626">
        <v>0.179092</v>
      </c>
      <c r="H42" s="626">
        <v>0.179092</v>
      </c>
      <c r="I42" s="588" t="s">
        <v>982</v>
      </c>
    </row>
    <row r="43" spans="1:9">
      <c r="A43" s="42"/>
      <c r="B43" s="588" t="s">
        <v>965</v>
      </c>
      <c r="C43" s="690" t="s">
        <v>1172</v>
      </c>
      <c r="D43" s="588" t="s">
        <v>1155</v>
      </c>
      <c r="E43" s="588" t="s">
        <v>987</v>
      </c>
      <c r="F43" s="626">
        <v>1.17188E-2</v>
      </c>
      <c r="G43" s="626"/>
      <c r="H43" s="626">
        <v>1.17188E-2</v>
      </c>
      <c r="I43" s="588"/>
    </row>
    <row r="44" spans="1:9">
      <c r="A44" s="42"/>
      <c r="B44" s="588" t="s">
        <v>965</v>
      </c>
      <c r="C44" s="690" t="s">
        <v>1172</v>
      </c>
      <c r="D44" s="588" t="s">
        <v>1174</v>
      </c>
      <c r="E44" s="589" t="s">
        <v>988</v>
      </c>
      <c r="F44" s="626">
        <v>0.5</v>
      </c>
      <c r="G44" s="626"/>
      <c r="H44" s="626">
        <v>0.5</v>
      </c>
      <c r="I44" s="588"/>
    </row>
    <row r="45" spans="1:9">
      <c r="A45" s="42"/>
      <c r="B45" s="588" t="s">
        <v>964</v>
      </c>
      <c r="C45" s="588" t="s">
        <v>1172</v>
      </c>
      <c r="D45" s="588" t="s">
        <v>1158</v>
      </c>
      <c r="E45" s="588" t="s">
        <v>989</v>
      </c>
      <c r="F45" s="626"/>
      <c r="G45" s="626">
        <v>0.358184</v>
      </c>
      <c r="H45" s="626">
        <v>0.358184</v>
      </c>
      <c r="I45" s="588" t="s">
        <v>982</v>
      </c>
    </row>
    <row r="46" spans="1:9">
      <c r="A46" s="42"/>
      <c r="B46" s="589" t="s">
        <v>965</v>
      </c>
      <c r="C46" s="588" t="s">
        <v>1172</v>
      </c>
      <c r="D46" s="589" t="s">
        <v>1158</v>
      </c>
      <c r="E46" s="589" t="s">
        <v>990</v>
      </c>
      <c r="F46" s="626"/>
      <c r="G46" s="626">
        <v>0.179092</v>
      </c>
      <c r="H46" s="626">
        <v>0.179092</v>
      </c>
      <c r="I46" s="588" t="s">
        <v>982</v>
      </c>
    </row>
    <row r="47" spans="1:9">
      <c r="A47" s="42"/>
      <c r="B47" s="588" t="s">
        <v>964</v>
      </c>
      <c r="C47" s="588" t="s">
        <v>1172</v>
      </c>
      <c r="D47" s="588" t="s">
        <v>1158</v>
      </c>
      <c r="E47" s="588" t="s">
        <v>991</v>
      </c>
      <c r="F47" s="626"/>
      <c r="G47" s="626">
        <v>0.358184</v>
      </c>
      <c r="H47" s="626">
        <v>0.358184</v>
      </c>
      <c r="I47" s="588" t="s">
        <v>982</v>
      </c>
    </row>
    <row r="48" spans="1:9">
      <c r="A48" s="42"/>
      <c r="B48" s="589" t="s">
        <v>965</v>
      </c>
      <c r="C48" s="588" t="s">
        <v>1172</v>
      </c>
      <c r="D48" s="589" t="s">
        <v>1158</v>
      </c>
      <c r="E48" s="589" t="s">
        <v>992</v>
      </c>
      <c r="F48" s="626"/>
      <c r="G48" s="626">
        <v>0.18267384</v>
      </c>
      <c r="H48" s="626">
        <v>0.18267384</v>
      </c>
      <c r="I48" s="588" t="s">
        <v>982</v>
      </c>
    </row>
    <row r="49" spans="1:9">
      <c r="A49" s="42"/>
      <c r="B49" s="588" t="s">
        <v>964</v>
      </c>
      <c r="C49" s="588" t="s">
        <v>1172</v>
      </c>
      <c r="D49" s="588" t="s">
        <v>1158</v>
      </c>
      <c r="E49" s="588" t="s">
        <v>993</v>
      </c>
      <c r="F49" s="626"/>
      <c r="G49" s="626">
        <v>0.358184</v>
      </c>
      <c r="H49" s="626">
        <v>0.358184</v>
      </c>
      <c r="I49" s="588" t="s">
        <v>982</v>
      </c>
    </row>
    <row r="50" spans="1:9">
      <c r="A50" s="42"/>
      <c r="B50" s="589" t="s">
        <v>964</v>
      </c>
      <c r="C50" s="588" t="s">
        <v>1172</v>
      </c>
      <c r="D50" s="589" t="s">
        <v>1158</v>
      </c>
      <c r="E50" s="589" t="s">
        <v>994</v>
      </c>
      <c r="F50" s="626"/>
      <c r="G50" s="626">
        <v>0.358184</v>
      </c>
      <c r="H50" s="626">
        <v>0.358184</v>
      </c>
      <c r="I50" s="588" t="s">
        <v>982</v>
      </c>
    </row>
    <row r="51" spans="1:9">
      <c r="A51" s="42"/>
      <c r="B51" s="588" t="s">
        <v>964</v>
      </c>
      <c r="C51" s="588" t="s">
        <v>1172</v>
      </c>
      <c r="D51" s="588" t="s">
        <v>1158</v>
      </c>
      <c r="E51" s="588" t="s">
        <v>995</v>
      </c>
      <c r="F51" s="626"/>
      <c r="G51" s="626">
        <v>0.358184</v>
      </c>
      <c r="H51" s="626">
        <v>0.358184</v>
      </c>
      <c r="I51" s="588" t="s">
        <v>982</v>
      </c>
    </row>
    <row r="52" spans="1:9">
      <c r="A52" s="42"/>
      <c r="B52" s="589" t="s">
        <v>964</v>
      </c>
      <c r="C52" s="588" t="s">
        <v>1172</v>
      </c>
      <c r="D52" s="589" t="s">
        <v>1158</v>
      </c>
      <c r="E52" s="589" t="s">
        <v>996</v>
      </c>
      <c r="F52" s="627"/>
      <c r="G52" s="627">
        <v>0.358184</v>
      </c>
      <c r="H52" s="627">
        <v>0.358184</v>
      </c>
      <c r="I52" s="588" t="s">
        <v>982</v>
      </c>
    </row>
    <row r="53" spans="1:9">
      <c r="A53" s="42"/>
      <c r="B53" s="589" t="s">
        <v>965</v>
      </c>
      <c r="C53" s="588" t="s">
        <v>1172</v>
      </c>
      <c r="D53" s="589" t="s">
        <v>1158</v>
      </c>
      <c r="E53" s="589" t="s">
        <v>997</v>
      </c>
      <c r="F53" s="627"/>
      <c r="G53" s="627">
        <v>0.18267384</v>
      </c>
      <c r="H53" s="627">
        <v>0.18267384</v>
      </c>
      <c r="I53" s="588" t="s">
        <v>982</v>
      </c>
    </row>
    <row r="54" spans="1:9">
      <c r="A54" s="42"/>
      <c r="B54" s="589" t="s">
        <v>964</v>
      </c>
      <c r="C54" s="588" t="s">
        <v>1172</v>
      </c>
      <c r="D54" s="589" t="s">
        <v>1158</v>
      </c>
      <c r="E54" s="589" t="s">
        <v>998</v>
      </c>
      <c r="F54" s="627"/>
      <c r="G54" s="627">
        <v>0.358184</v>
      </c>
      <c r="H54" s="627">
        <v>0.358184</v>
      </c>
      <c r="I54" s="588" t="s">
        <v>982</v>
      </c>
    </row>
    <row r="55" spans="1:9">
      <c r="A55" s="42"/>
      <c r="B55" s="589" t="s">
        <v>964</v>
      </c>
      <c r="C55" s="588" t="s">
        <v>1172</v>
      </c>
      <c r="D55" s="589" t="s">
        <v>1158</v>
      </c>
      <c r="E55" s="589" t="s">
        <v>999</v>
      </c>
      <c r="F55" s="627"/>
      <c r="G55" s="627">
        <v>0.358184</v>
      </c>
      <c r="H55" s="627">
        <v>0.358184</v>
      </c>
      <c r="I55" s="588" t="s">
        <v>982</v>
      </c>
    </row>
    <row r="56" spans="1:9">
      <c r="A56" s="42"/>
      <c r="B56" s="589" t="s">
        <v>965</v>
      </c>
      <c r="C56" s="588" t="s">
        <v>1172</v>
      </c>
      <c r="D56" s="589" t="s">
        <v>1158</v>
      </c>
      <c r="E56" s="589" t="s">
        <v>1000</v>
      </c>
      <c r="F56" s="627"/>
      <c r="G56" s="627">
        <v>0.179092</v>
      </c>
      <c r="H56" s="627">
        <v>0.179092</v>
      </c>
      <c r="I56" s="588" t="s">
        <v>982</v>
      </c>
    </row>
    <row r="57" spans="1:9">
      <c r="A57" s="42"/>
      <c r="B57" s="588" t="s">
        <v>964</v>
      </c>
      <c r="C57" s="588" t="s">
        <v>1172</v>
      </c>
      <c r="D57" s="588" t="s">
        <v>1158</v>
      </c>
      <c r="E57" s="588" t="s">
        <v>1001</v>
      </c>
      <c r="F57" s="626"/>
      <c r="G57" s="626">
        <v>0.358184</v>
      </c>
      <c r="H57" s="626">
        <v>0.358184</v>
      </c>
      <c r="I57" s="588" t="s">
        <v>982</v>
      </c>
    </row>
    <row r="58" spans="1:9">
      <c r="A58" s="42"/>
      <c r="B58" s="589" t="s">
        <v>964</v>
      </c>
      <c r="C58" s="588" t="s">
        <v>1172</v>
      </c>
      <c r="D58" s="589" t="s">
        <v>1158</v>
      </c>
      <c r="E58" s="589" t="s">
        <v>1002</v>
      </c>
      <c r="F58" s="627"/>
      <c r="G58" s="627">
        <v>0.358184</v>
      </c>
      <c r="H58" s="627">
        <v>0.358184</v>
      </c>
      <c r="I58" s="588" t="s">
        <v>982</v>
      </c>
    </row>
    <row r="59" spans="1:9">
      <c r="A59" s="42"/>
      <c r="B59" s="588" t="s">
        <v>964</v>
      </c>
      <c r="C59" s="588" t="s">
        <v>1172</v>
      </c>
      <c r="D59" s="588" t="s">
        <v>1158</v>
      </c>
      <c r="E59" s="588" t="s">
        <v>1003</v>
      </c>
      <c r="F59" s="626"/>
      <c r="G59" s="626">
        <v>0.358184</v>
      </c>
      <c r="H59" s="626">
        <v>0.358184</v>
      </c>
      <c r="I59" s="588" t="s">
        <v>982</v>
      </c>
    </row>
    <row r="60" spans="1:9">
      <c r="A60" s="42"/>
      <c r="B60" s="589" t="s">
        <v>964</v>
      </c>
      <c r="C60" s="588" t="s">
        <v>1172</v>
      </c>
      <c r="D60" s="589" t="s">
        <v>1158</v>
      </c>
      <c r="E60" s="589" t="s">
        <v>1004</v>
      </c>
      <c r="F60" s="626"/>
      <c r="G60" s="626">
        <v>0.358184</v>
      </c>
      <c r="H60" s="626">
        <v>0.358184</v>
      </c>
      <c r="I60" s="588" t="s">
        <v>982</v>
      </c>
    </row>
    <row r="61" spans="1:9">
      <c r="A61" s="42"/>
      <c r="B61" s="589" t="s">
        <v>964</v>
      </c>
      <c r="C61" s="588" t="s">
        <v>1172</v>
      </c>
      <c r="D61" s="589" t="s">
        <v>1158</v>
      </c>
      <c r="E61" s="589" t="s">
        <v>1005</v>
      </c>
      <c r="F61" s="627"/>
      <c r="G61" s="627">
        <v>0.358184</v>
      </c>
      <c r="H61" s="627">
        <v>0.358184</v>
      </c>
      <c r="I61" s="588" t="s">
        <v>982</v>
      </c>
    </row>
    <row r="62" spans="1:9">
      <c r="A62" s="42"/>
      <c r="B62" s="589" t="s">
        <v>964</v>
      </c>
      <c r="C62" s="684" t="s">
        <v>1175</v>
      </c>
      <c r="D62" s="589" t="s">
        <v>1156</v>
      </c>
      <c r="E62" s="589" t="s">
        <v>1006</v>
      </c>
      <c r="F62" s="627">
        <v>0.9999979</v>
      </c>
      <c r="G62" s="627">
        <v>2.0878128599916209E-6</v>
      </c>
      <c r="H62" s="627">
        <v>0.99999998781286004</v>
      </c>
      <c r="I62" s="588" t="s">
        <v>1028</v>
      </c>
    </row>
    <row r="63" spans="1:9">
      <c r="A63" s="42"/>
      <c r="B63" s="805" t="s">
        <v>964</v>
      </c>
      <c r="C63" s="800" t="s">
        <v>1175</v>
      </c>
      <c r="D63" s="805" t="s">
        <v>1156</v>
      </c>
      <c r="E63" s="805" t="s">
        <v>1007</v>
      </c>
      <c r="F63" s="807"/>
      <c r="G63" s="807">
        <v>0.99999940747408667</v>
      </c>
      <c r="H63" s="807">
        <v>0.99999940747408667</v>
      </c>
      <c r="I63" s="588" t="s">
        <v>1008</v>
      </c>
    </row>
    <row r="64" spans="1:9">
      <c r="A64" s="42"/>
      <c r="B64" s="806"/>
      <c r="C64" s="802"/>
      <c r="D64" s="804"/>
      <c r="E64" s="804"/>
      <c r="F64" s="808"/>
      <c r="G64" s="808"/>
      <c r="H64" s="808"/>
      <c r="I64" s="588" t="s">
        <v>1032</v>
      </c>
    </row>
    <row r="65" spans="1:9">
      <c r="A65" s="42"/>
      <c r="B65" s="805" t="s">
        <v>964</v>
      </c>
      <c r="C65" s="800" t="s">
        <v>1175</v>
      </c>
      <c r="D65" s="805" t="s">
        <v>1156</v>
      </c>
      <c r="E65" s="805" t="s">
        <v>1008</v>
      </c>
      <c r="F65" s="807"/>
      <c r="G65" s="807">
        <v>0.99999940747407834</v>
      </c>
      <c r="H65" s="807">
        <v>0.99999940747407834</v>
      </c>
      <c r="I65" s="588" t="s">
        <v>1006</v>
      </c>
    </row>
    <row r="66" spans="1:9">
      <c r="A66" s="42"/>
      <c r="B66" s="806"/>
      <c r="C66" s="802"/>
      <c r="D66" s="804"/>
      <c r="E66" s="804"/>
      <c r="F66" s="808"/>
      <c r="G66" s="808"/>
      <c r="H66" s="808"/>
      <c r="I66" s="588" t="s">
        <v>1028</v>
      </c>
    </row>
    <row r="67" spans="1:9">
      <c r="A67" s="42"/>
      <c r="B67" s="589" t="s">
        <v>964</v>
      </c>
      <c r="C67" s="684" t="s">
        <v>1154</v>
      </c>
      <c r="D67" s="589" t="s">
        <v>1156</v>
      </c>
      <c r="E67" s="589" t="s">
        <v>1009</v>
      </c>
      <c r="F67" s="627"/>
      <c r="G67" s="627">
        <v>0.64999961485815094</v>
      </c>
      <c r="H67" s="627">
        <v>0.64999961485815094</v>
      </c>
      <c r="I67" s="588" t="s">
        <v>1008</v>
      </c>
    </row>
    <row r="68" spans="1:9">
      <c r="A68" s="42"/>
      <c r="B68" s="805" t="s">
        <v>964</v>
      </c>
      <c r="C68" s="805" t="s">
        <v>1172</v>
      </c>
      <c r="D68" s="805" t="s">
        <v>1176</v>
      </c>
      <c r="E68" s="805" t="s">
        <v>1010</v>
      </c>
      <c r="F68" s="807">
        <v>0.50999859999999997</v>
      </c>
      <c r="G68" s="807">
        <v>0.48999429644424963</v>
      </c>
      <c r="H68" s="807">
        <v>0.9999928964442496</v>
      </c>
      <c r="I68" s="588" t="s">
        <v>1028</v>
      </c>
    </row>
    <row r="69" spans="1:9">
      <c r="A69" s="42"/>
      <c r="B69" s="806"/>
      <c r="C69" s="806"/>
      <c r="D69" s="804"/>
      <c r="E69" s="804"/>
      <c r="F69" s="808"/>
      <c r="G69" s="808"/>
      <c r="H69" s="808"/>
      <c r="I69" s="588" t="s">
        <v>1033</v>
      </c>
    </row>
    <row r="70" spans="1:9">
      <c r="A70" s="42"/>
      <c r="B70" s="589" t="s">
        <v>964</v>
      </c>
      <c r="C70" s="588" t="s">
        <v>1175</v>
      </c>
      <c r="D70" s="589" t="s">
        <v>1158</v>
      </c>
      <c r="E70" s="589" t="s">
        <v>1011</v>
      </c>
      <c r="F70" s="627">
        <v>0.99899380000000004</v>
      </c>
      <c r="G70" s="627">
        <v>1.0062000000000001E-3</v>
      </c>
      <c r="H70" s="627">
        <v>1</v>
      </c>
      <c r="I70" s="588" t="s">
        <v>1012</v>
      </c>
    </row>
    <row r="71" spans="1:9">
      <c r="A71" s="42"/>
      <c r="B71" s="588" t="s">
        <v>964</v>
      </c>
      <c r="C71" s="588" t="s">
        <v>1175</v>
      </c>
      <c r="D71" s="588" t="s">
        <v>1158</v>
      </c>
      <c r="E71" s="588" t="s">
        <v>1012</v>
      </c>
      <c r="F71" s="626">
        <v>1</v>
      </c>
      <c r="G71" s="626"/>
      <c r="H71" s="626">
        <v>1</v>
      </c>
      <c r="I71" s="588"/>
    </row>
    <row r="72" spans="1:9">
      <c r="A72" s="42"/>
      <c r="B72" s="589" t="s">
        <v>964</v>
      </c>
      <c r="C72" s="589" t="s">
        <v>1172</v>
      </c>
      <c r="D72" s="589" t="s">
        <v>375</v>
      </c>
      <c r="E72" s="589" t="s">
        <v>1013</v>
      </c>
      <c r="F72" s="627">
        <v>0.45136860000000001</v>
      </c>
      <c r="G72" s="627">
        <v>0.54841210602197998</v>
      </c>
      <c r="H72" s="627">
        <v>0.99978070602197999</v>
      </c>
      <c r="I72" s="588" t="s">
        <v>1033</v>
      </c>
    </row>
    <row r="73" spans="1:9">
      <c r="A73" s="42"/>
      <c r="B73" s="588" t="s">
        <v>964</v>
      </c>
      <c r="C73" s="684" t="s">
        <v>1172</v>
      </c>
      <c r="D73" s="588" t="s">
        <v>1156</v>
      </c>
      <c r="E73" s="588" t="s">
        <v>1014</v>
      </c>
      <c r="F73" s="626">
        <v>0.78410000000000002</v>
      </c>
      <c r="G73" s="626">
        <v>0.21589999736879648</v>
      </c>
      <c r="H73" s="626">
        <v>0.99999999736879652</v>
      </c>
      <c r="I73" s="588" t="s">
        <v>1006</v>
      </c>
    </row>
    <row r="74" spans="1:9">
      <c r="A74" s="42"/>
      <c r="B74" s="805" t="s">
        <v>964</v>
      </c>
      <c r="C74" s="812" t="s">
        <v>1172</v>
      </c>
      <c r="D74" s="805" t="s">
        <v>1155</v>
      </c>
      <c r="E74" s="805" t="s">
        <v>1015</v>
      </c>
      <c r="F74" s="807">
        <v>0.9999728</v>
      </c>
      <c r="G74" s="807">
        <v>2.7159045650778681E-5</v>
      </c>
      <c r="H74" s="807">
        <v>0.99999995904565075</v>
      </c>
      <c r="I74" s="588" t="s">
        <v>973</v>
      </c>
    </row>
    <row r="75" spans="1:9">
      <c r="A75" s="42"/>
      <c r="B75" s="811"/>
      <c r="C75" s="813"/>
      <c r="D75" s="803"/>
      <c r="E75" s="803"/>
      <c r="F75" s="810"/>
      <c r="G75" s="810"/>
      <c r="H75" s="810"/>
      <c r="I75" s="588" t="s">
        <v>1013</v>
      </c>
    </row>
    <row r="76" spans="1:9">
      <c r="A76" s="42"/>
      <c r="B76" s="811"/>
      <c r="C76" s="813"/>
      <c r="D76" s="803"/>
      <c r="E76" s="803"/>
      <c r="F76" s="810"/>
      <c r="G76" s="810"/>
      <c r="H76" s="810"/>
      <c r="I76" s="588" t="s">
        <v>1018</v>
      </c>
    </row>
    <row r="77" spans="1:9">
      <c r="A77" s="42"/>
      <c r="B77" s="806"/>
      <c r="C77" s="814"/>
      <c r="D77" s="804"/>
      <c r="E77" s="804"/>
      <c r="F77" s="808"/>
      <c r="G77" s="808"/>
      <c r="H77" s="808"/>
      <c r="I77" s="588" t="s">
        <v>1028</v>
      </c>
    </row>
    <row r="78" spans="1:9">
      <c r="A78" s="42"/>
      <c r="B78" s="800" t="s">
        <v>964</v>
      </c>
      <c r="C78" s="800" t="s">
        <v>1159</v>
      </c>
      <c r="D78" s="800" t="s">
        <v>1177</v>
      </c>
      <c r="E78" s="800" t="s">
        <v>1059</v>
      </c>
      <c r="F78" s="809"/>
      <c r="G78" s="809">
        <v>0.99419659910123315</v>
      </c>
      <c r="H78" s="809">
        <v>0.99419659910123315</v>
      </c>
      <c r="I78" s="588" t="s">
        <v>1028</v>
      </c>
    </row>
    <row r="79" spans="1:9">
      <c r="A79" s="42"/>
      <c r="B79" s="802"/>
      <c r="C79" s="802"/>
      <c r="D79" s="804"/>
      <c r="E79" s="804"/>
      <c r="F79" s="808"/>
      <c r="G79" s="808"/>
      <c r="H79" s="808"/>
      <c r="I79" s="588" t="s">
        <v>1030</v>
      </c>
    </row>
    <row r="80" spans="1:9">
      <c r="A80" s="42"/>
      <c r="B80" s="800" t="s">
        <v>964</v>
      </c>
      <c r="C80" s="800" t="s">
        <v>1154</v>
      </c>
      <c r="D80" s="800" t="s">
        <v>1156</v>
      </c>
      <c r="E80" s="800" t="s">
        <v>1016</v>
      </c>
      <c r="F80" s="809"/>
      <c r="G80" s="809">
        <v>0.99999940747407889</v>
      </c>
      <c r="H80" s="809">
        <v>0.99999940747407889</v>
      </c>
      <c r="I80" s="588" t="s">
        <v>1008</v>
      </c>
    </row>
    <row r="81" spans="1:10">
      <c r="A81" s="42"/>
      <c r="B81" s="802"/>
      <c r="C81" s="802"/>
      <c r="D81" s="804"/>
      <c r="E81" s="804"/>
      <c r="F81" s="808"/>
      <c r="G81" s="808"/>
      <c r="H81" s="808"/>
      <c r="I81" s="588" t="s">
        <v>1032</v>
      </c>
    </row>
    <row r="82" spans="1:10">
      <c r="A82" s="42"/>
      <c r="B82" s="800" t="s">
        <v>964</v>
      </c>
      <c r="C82" s="800" t="s">
        <v>1154</v>
      </c>
      <c r="D82" s="800" t="s">
        <v>1156</v>
      </c>
      <c r="E82" s="800" t="s">
        <v>1017</v>
      </c>
      <c r="F82" s="809"/>
      <c r="G82" s="809">
        <v>0.99999940747408245</v>
      </c>
      <c r="H82" s="809">
        <v>0.99999940747408245</v>
      </c>
      <c r="I82" s="588" t="s">
        <v>1008</v>
      </c>
    </row>
    <row r="83" spans="1:10">
      <c r="A83" s="42"/>
      <c r="B83" s="802"/>
      <c r="C83" s="802"/>
      <c r="D83" s="804"/>
      <c r="E83" s="804"/>
      <c r="F83" s="808"/>
      <c r="G83" s="808"/>
      <c r="H83" s="808"/>
      <c r="I83" s="588" t="s">
        <v>1032</v>
      </c>
    </row>
    <row r="84" spans="1:10">
      <c r="A84" s="42"/>
      <c r="B84" s="589" t="s">
        <v>964</v>
      </c>
      <c r="C84" s="589" t="s">
        <v>1172</v>
      </c>
      <c r="D84" s="589" t="s">
        <v>375</v>
      </c>
      <c r="E84" s="589" t="s">
        <v>1018</v>
      </c>
      <c r="F84" s="627">
        <v>0.99966670000000002</v>
      </c>
      <c r="G84" s="627">
        <v>3.3329556711000002E-4</v>
      </c>
      <c r="H84" s="627">
        <v>0.99999999556711006</v>
      </c>
      <c r="I84" s="588" t="s">
        <v>1033</v>
      </c>
    </row>
    <row r="85" spans="1:10">
      <c r="A85" s="42"/>
      <c r="B85" s="589" t="s">
        <v>965</v>
      </c>
      <c r="C85" s="690" t="s">
        <v>1154</v>
      </c>
      <c r="D85" s="589" t="s">
        <v>1155</v>
      </c>
      <c r="E85" s="589" t="s">
        <v>1019</v>
      </c>
      <c r="F85" s="627"/>
      <c r="G85" s="627">
        <v>0.33</v>
      </c>
      <c r="H85" s="627">
        <v>0.33</v>
      </c>
      <c r="I85" s="588" t="s">
        <v>973</v>
      </c>
    </row>
    <row r="86" spans="1:10">
      <c r="A86" s="42"/>
      <c r="B86" s="589" t="s">
        <v>968</v>
      </c>
      <c r="C86" s="589" t="s">
        <v>1159</v>
      </c>
      <c r="D86" s="589" t="s">
        <v>1173</v>
      </c>
      <c r="E86" s="589" t="s">
        <v>1020</v>
      </c>
      <c r="F86" s="627"/>
      <c r="G86" s="627">
        <v>0.11045524225955672</v>
      </c>
      <c r="H86" s="627">
        <v>0.11045524225955672</v>
      </c>
      <c r="I86" s="588" t="s">
        <v>1028</v>
      </c>
    </row>
    <row r="87" spans="1:10">
      <c r="A87" s="42"/>
      <c r="B87" s="589" t="s">
        <v>964</v>
      </c>
      <c r="C87" s="589" t="s">
        <v>1172</v>
      </c>
      <c r="D87" s="589" t="s">
        <v>375</v>
      </c>
      <c r="E87" s="589" t="s">
        <v>1021</v>
      </c>
      <c r="F87" s="626">
        <v>0.3</v>
      </c>
      <c r="G87" s="626">
        <v>0.29999600999999998</v>
      </c>
      <c r="H87" s="626">
        <v>0.59999600999999991</v>
      </c>
      <c r="I87" s="588" t="s">
        <v>1033</v>
      </c>
    </row>
    <row r="88" spans="1:10">
      <c r="A88" s="42"/>
      <c r="B88" s="589" t="s">
        <v>964</v>
      </c>
      <c r="C88" s="684" t="s">
        <v>1154</v>
      </c>
      <c r="D88" s="589" t="s">
        <v>1156</v>
      </c>
      <c r="E88" s="589" t="s">
        <v>1022</v>
      </c>
      <c r="F88" s="627"/>
      <c r="G88" s="627">
        <v>0.74999915560579578</v>
      </c>
      <c r="H88" s="627">
        <v>0.74999915560579578</v>
      </c>
      <c r="I88" s="588" t="s">
        <v>1008</v>
      </c>
    </row>
    <row r="89" spans="1:10">
      <c r="A89" s="42"/>
      <c r="B89" s="805" t="s">
        <v>964</v>
      </c>
      <c r="C89" s="800" t="s">
        <v>1154</v>
      </c>
      <c r="D89" s="805" t="s">
        <v>1156</v>
      </c>
      <c r="E89" s="805" t="s">
        <v>1023</v>
      </c>
      <c r="F89" s="807"/>
      <c r="G89" s="807">
        <v>0.99999940747407834</v>
      </c>
      <c r="H89" s="807">
        <v>0.99999940747407834</v>
      </c>
      <c r="I89" s="588" t="s">
        <v>1008</v>
      </c>
    </row>
    <row r="90" spans="1:10">
      <c r="A90" s="42"/>
      <c r="B90" s="806"/>
      <c r="C90" s="802"/>
      <c r="D90" s="804"/>
      <c r="E90" s="804"/>
      <c r="F90" s="808"/>
      <c r="G90" s="808"/>
      <c r="H90" s="808"/>
      <c r="I90" s="588" t="s">
        <v>1032</v>
      </c>
    </row>
    <row r="91" spans="1:10">
      <c r="A91" s="42"/>
      <c r="B91" s="589" t="s">
        <v>964</v>
      </c>
      <c r="C91" s="690" t="s">
        <v>1172</v>
      </c>
      <c r="D91" s="589" t="s">
        <v>1155</v>
      </c>
      <c r="E91" s="589" t="s">
        <v>1024</v>
      </c>
      <c r="F91" s="627">
        <v>0.15</v>
      </c>
      <c r="G91" s="627">
        <v>0.84770721000000004</v>
      </c>
      <c r="H91" s="627">
        <v>0.99770721000000007</v>
      </c>
      <c r="I91" s="588" t="s">
        <v>1035</v>
      </c>
    </row>
    <row r="92" spans="1:10">
      <c r="A92" s="42"/>
      <c r="B92" s="589" t="s">
        <v>965</v>
      </c>
      <c r="C92" s="588" t="s">
        <v>1172</v>
      </c>
      <c r="D92" s="589" t="s">
        <v>1158</v>
      </c>
      <c r="E92" s="589" t="s">
        <v>1025</v>
      </c>
      <c r="F92" s="627"/>
      <c r="G92" s="627">
        <v>0.1487918</v>
      </c>
      <c r="H92" s="627">
        <v>0.1487918</v>
      </c>
      <c r="I92" s="588" t="s">
        <v>1011</v>
      </c>
    </row>
    <row r="93" spans="1:10" s="46" customFormat="1">
      <c r="A93" s="42"/>
      <c r="B93" s="805" t="s">
        <v>964</v>
      </c>
      <c r="C93" s="800" t="s">
        <v>1159</v>
      </c>
      <c r="D93" s="805" t="s">
        <v>1158</v>
      </c>
      <c r="E93" s="805" t="s">
        <v>1026</v>
      </c>
      <c r="F93" s="807"/>
      <c r="G93" s="807">
        <v>0.99419659349344791</v>
      </c>
      <c r="H93" s="807">
        <v>0.99419659349344791</v>
      </c>
      <c r="I93" s="588" t="s">
        <v>1029</v>
      </c>
      <c r="J93" s="628"/>
    </row>
    <row r="94" spans="1:10">
      <c r="A94" s="42"/>
      <c r="B94" s="806"/>
      <c r="C94" s="802"/>
      <c r="D94" s="804"/>
      <c r="E94" s="804"/>
      <c r="F94" s="808"/>
      <c r="G94" s="808"/>
      <c r="H94" s="808"/>
      <c r="I94" s="588" t="s">
        <v>1030</v>
      </c>
    </row>
    <row r="95" spans="1:10">
      <c r="A95" s="42"/>
      <c r="B95" s="589" t="s">
        <v>964</v>
      </c>
      <c r="C95" s="684" t="s">
        <v>1159</v>
      </c>
      <c r="D95" s="589" t="s">
        <v>1156</v>
      </c>
      <c r="E95" s="589" t="s">
        <v>1027</v>
      </c>
      <c r="F95" s="627"/>
      <c r="G95" s="627">
        <v>0.98425463399604984</v>
      </c>
      <c r="H95" s="627">
        <v>0.98425463399604984</v>
      </c>
      <c r="I95" s="588" t="s">
        <v>1028</v>
      </c>
    </row>
    <row r="96" spans="1:10">
      <c r="A96" s="42"/>
      <c r="B96" s="589" t="s">
        <v>964</v>
      </c>
      <c r="C96" s="690" t="s">
        <v>1159</v>
      </c>
      <c r="D96" s="589" t="s">
        <v>1155</v>
      </c>
      <c r="E96" s="589" t="s">
        <v>1028</v>
      </c>
      <c r="F96" s="627">
        <v>0.99419630000000003</v>
      </c>
      <c r="G96" s="627">
        <v>2.9999600999999997E-7</v>
      </c>
      <c r="H96" s="627">
        <v>0.99419659999601007</v>
      </c>
      <c r="I96" s="588" t="s">
        <v>1033</v>
      </c>
    </row>
    <row r="97" spans="1:9">
      <c r="A97" s="42"/>
      <c r="B97" s="805" t="s">
        <v>964</v>
      </c>
      <c r="C97" s="800" t="s">
        <v>1159</v>
      </c>
      <c r="D97" s="805" t="s">
        <v>1158</v>
      </c>
      <c r="E97" s="805" t="s">
        <v>1029</v>
      </c>
      <c r="F97" s="807"/>
      <c r="G97" s="807">
        <v>0.99419659999600007</v>
      </c>
      <c r="H97" s="807">
        <v>0.99419659999600007</v>
      </c>
      <c r="I97" s="588" t="s">
        <v>1028</v>
      </c>
    </row>
    <row r="98" spans="1:9">
      <c r="A98" s="42"/>
      <c r="B98" s="806"/>
      <c r="C98" s="802"/>
      <c r="D98" s="804"/>
      <c r="E98" s="804"/>
      <c r="F98" s="808"/>
      <c r="G98" s="808"/>
      <c r="H98" s="808"/>
      <c r="I98" s="588" t="s">
        <v>1030</v>
      </c>
    </row>
    <row r="99" spans="1:9">
      <c r="A99" s="42"/>
      <c r="B99" s="588" t="s">
        <v>964</v>
      </c>
      <c r="C99" s="589" t="s">
        <v>1159</v>
      </c>
      <c r="D99" s="589" t="s">
        <v>375</v>
      </c>
      <c r="E99" s="588" t="s">
        <v>1030</v>
      </c>
      <c r="F99" s="626"/>
      <c r="G99" s="626">
        <v>0.99419650057635001</v>
      </c>
      <c r="H99" s="626">
        <v>0.99419650057635001</v>
      </c>
      <c r="I99" s="588" t="s">
        <v>1028</v>
      </c>
    </row>
    <row r="100" spans="1:9">
      <c r="A100" s="42"/>
      <c r="B100" s="800" t="s">
        <v>965</v>
      </c>
      <c r="C100" s="800" t="s">
        <v>1159</v>
      </c>
      <c r="D100" s="800" t="s">
        <v>1178</v>
      </c>
      <c r="E100" s="800" t="s">
        <v>1031</v>
      </c>
      <c r="F100" s="809"/>
      <c r="G100" s="809">
        <v>0.49709825525915807</v>
      </c>
      <c r="H100" s="809">
        <v>0.49709825525915807</v>
      </c>
      <c r="I100" s="588" t="s">
        <v>1028</v>
      </c>
    </row>
    <row r="101" spans="1:9">
      <c r="A101" s="42"/>
      <c r="B101" s="802"/>
      <c r="C101" s="802"/>
      <c r="D101" s="804"/>
      <c r="E101" s="804"/>
      <c r="F101" s="808"/>
      <c r="G101" s="808"/>
      <c r="H101" s="808"/>
      <c r="I101" s="588" t="s">
        <v>1030</v>
      </c>
    </row>
    <row r="102" spans="1:9">
      <c r="A102" s="42"/>
      <c r="B102" s="800" t="s">
        <v>964</v>
      </c>
      <c r="C102" s="800" t="s">
        <v>1175</v>
      </c>
      <c r="D102" s="800" t="s">
        <v>1156</v>
      </c>
      <c r="E102" s="800" t="s">
        <v>1032</v>
      </c>
      <c r="F102" s="809"/>
      <c r="G102" s="809">
        <v>0.999999408054417</v>
      </c>
      <c r="H102" s="809">
        <v>0.999999408054417</v>
      </c>
      <c r="I102" s="588" t="s">
        <v>1006</v>
      </c>
    </row>
    <row r="103" spans="1:9">
      <c r="A103" s="42"/>
      <c r="B103" s="802"/>
      <c r="C103" s="802"/>
      <c r="D103" s="804"/>
      <c r="E103" s="804"/>
      <c r="F103" s="808"/>
      <c r="G103" s="808"/>
      <c r="H103" s="808"/>
      <c r="I103" s="588" t="s">
        <v>1008</v>
      </c>
    </row>
    <row r="104" spans="1:9">
      <c r="A104" s="42"/>
      <c r="B104" s="588" t="s">
        <v>964</v>
      </c>
      <c r="C104" s="690" t="s">
        <v>1172</v>
      </c>
      <c r="D104" s="588" t="s">
        <v>1155</v>
      </c>
      <c r="E104" s="588" t="s">
        <v>1033</v>
      </c>
      <c r="F104" s="626">
        <v>0.99998670000000001</v>
      </c>
      <c r="G104" s="626"/>
      <c r="H104" s="626">
        <v>0.99998670000000001</v>
      </c>
      <c r="I104" s="588"/>
    </row>
    <row r="105" spans="1:9">
      <c r="A105" s="42"/>
      <c r="B105" s="800" t="s">
        <v>967</v>
      </c>
      <c r="C105" s="800" t="s">
        <v>1157</v>
      </c>
      <c r="D105" s="800" t="s">
        <v>1158</v>
      </c>
      <c r="E105" s="800" t="s">
        <v>1034</v>
      </c>
      <c r="F105" s="809"/>
      <c r="G105" s="809">
        <v>0.15395690343919999</v>
      </c>
      <c r="H105" s="809">
        <v>0.15395690343919999</v>
      </c>
      <c r="I105" s="588" t="s">
        <v>1161</v>
      </c>
    </row>
    <row r="106" spans="1:9">
      <c r="A106" s="42"/>
      <c r="B106" s="801"/>
      <c r="C106" s="801"/>
      <c r="D106" s="803"/>
      <c r="E106" s="803"/>
      <c r="F106" s="810"/>
      <c r="G106" s="810"/>
      <c r="H106" s="810"/>
      <c r="I106" s="588" t="s">
        <v>1179</v>
      </c>
    </row>
    <row r="107" spans="1:9">
      <c r="A107" s="42"/>
      <c r="B107" s="801"/>
      <c r="C107" s="801"/>
      <c r="D107" s="803"/>
      <c r="E107" s="803"/>
      <c r="F107" s="810"/>
      <c r="G107" s="810"/>
      <c r="H107" s="810"/>
      <c r="I107" s="588" t="s">
        <v>1162</v>
      </c>
    </row>
    <row r="108" spans="1:9">
      <c r="A108" s="42"/>
      <c r="B108" s="801"/>
      <c r="C108" s="801"/>
      <c r="D108" s="803"/>
      <c r="E108" s="803"/>
      <c r="F108" s="810"/>
      <c r="G108" s="810"/>
      <c r="H108" s="810"/>
      <c r="I108" s="588" t="s">
        <v>1180</v>
      </c>
    </row>
    <row r="109" spans="1:9">
      <c r="A109" s="42"/>
      <c r="B109" s="801"/>
      <c r="C109" s="801"/>
      <c r="D109" s="803"/>
      <c r="E109" s="803"/>
      <c r="F109" s="810"/>
      <c r="G109" s="810"/>
      <c r="H109" s="810"/>
      <c r="I109" s="588" t="s">
        <v>1181</v>
      </c>
    </row>
    <row r="110" spans="1:9">
      <c r="A110" s="42"/>
      <c r="B110" s="801"/>
      <c r="C110" s="801"/>
      <c r="D110" s="803"/>
      <c r="E110" s="803"/>
      <c r="F110" s="810"/>
      <c r="G110" s="810"/>
      <c r="H110" s="810"/>
      <c r="I110" s="588" t="s">
        <v>1182</v>
      </c>
    </row>
    <row r="111" spans="1:9">
      <c r="A111" s="42"/>
      <c r="B111" s="801"/>
      <c r="C111" s="801"/>
      <c r="D111" s="803"/>
      <c r="E111" s="803"/>
      <c r="F111" s="810"/>
      <c r="G111" s="810"/>
      <c r="H111" s="810"/>
      <c r="I111" s="588" t="s">
        <v>1163</v>
      </c>
    </row>
    <row r="112" spans="1:9">
      <c r="A112" s="42"/>
      <c r="B112" s="801"/>
      <c r="C112" s="801"/>
      <c r="D112" s="803"/>
      <c r="E112" s="803"/>
      <c r="F112" s="810"/>
      <c r="G112" s="810"/>
      <c r="H112" s="810"/>
      <c r="I112" s="588" t="s">
        <v>1164</v>
      </c>
    </row>
    <row r="113" spans="1:9">
      <c r="A113" s="42"/>
      <c r="B113" s="801"/>
      <c r="C113" s="801"/>
      <c r="D113" s="803"/>
      <c r="E113" s="803"/>
      <c r="F113" s="810"/>
      <c r="G113" s="810"/>
      <c r="H113" s="810"/>
      <c r="I113" s="588" t="s">
        <v>1165</v>
      </c>
    </row>
    <row r="114" spans="1:9">
      <c r="A114" s="42"/>
      <c r="B114" s="801"/>
      <c r="C114" s="801"/>
      <c r="D114" s="803"/>
      <c r="E114" s="803"/>
      <c r="F114" s="810"/>
      <c r="G114" s="810"/>
      <c r="H114" s="810"/>
      <c r="I114" s="588" t="s">
        <v>1166</v>
      </c>
    </row>
    <row r="115" spans="1:9">
      <c r="A115" s="42"/>
      <c r="B115" s="801"/>
      <c r="C115" s="801"/>
      <c r="D115" s="803"/>
      <c r="E115" s="803"/>
      <c r="F115" s="810"/>
      <c r="G115" s="810"/>
      <c r="H115" s="810"/>
      <c r="I115" s="588" t="s">
        <v>1167</v>
      </c>
    </row>
    <row r="116" spans="1:9">
      <c r="A116" s="42"/>
      <c r="B116" s="801"/>
      <c r="C116" s="801"/>
      <c r="D116" s="803"/>
      <c r="E116" s="803"/>
      <c r="F116" s="810"/>
      <c r="G116" s="810"/>
      <c r="H116" s="810"/>
      <c r="I116" s="588" t="s">
        <v>1183</v>
      </c>
    </row>
    <row r="117" spans="1:9">
      <c r="A117" s="42"/>
      <c r="B117" s="801"/>
      <c r="C117" s="801"/>
      <c r="D117" s="803"/>
      <c r="E117" s="803"/>
      <c r="F117" s="810"/>
      <c r="G117" s="810"/>
      <c r="H117" s="810"/>
      <c r="I117" s="588" t="s">
        <v>1184</v>
      </c>
    </row>
    <row r="118" spans="1:9">
      <c r="A118" s="42"/>
      <c r="B118" s="802"/>
      <c r="C118" s="802"/>
      <c r="D118" s="804"/>
      <c r="E118" s="804"/>
      <c r="F118" s="808"/>
      <c r="G118" s="808"/>
      <c r="H118" s="808"/>
      <c r="I118" s="588" t="s">
        <v>1168</v>
      </c>
    </row>
    <row r="119" spans="1:9">
      <c r="A119" s="42"/>
      <c r="B119" s="588" t="s">
        <v>964</v>
      </c>
      <c r="C119" s="690" t="s">
        <v>1172</v>
      </c>
      <c r="D119" s="588" t="s">
        <v>1155</v>
      </c>
      <c r="E119" s="588" t="s">
        <v>1035</v>
      </c>
      <c r="F119" s="626">
        <v>0.99730260000000004</v>
      </c>
      <c r="G119" s="626"/>
      <c r="H119" s="626">
        <v>0.99730260000000004</v>
      </c>
      <c r="I119" s="588"/>
    </row>
    <row r="120" spans="1:9">
      <c r="A120" s="42"/>
      <c r="H120" s="42"/>
      <c r="I120" s="629"/>
    </row>
  </sheetData>
  <mergeCells count="128">
    <mergeCell ref="G105:G118"/>
    <mergeCell ref="H105:H118"/>
    <mergeCell ref="H89:H90"/>
    <mergeCell ref="G93:G94"/>
    <mergeCell ref="H93:H94"/>
    <mergeCell ref="G97:G98"/>
    <mergeCell ref="H97:H98"/>
    <mergeCell ref="G100:G101"/>
    <mergeCell ref="H100:H101"/>
    <mergeCell ref="G102:G103"/>
    <mergeCell ref="H102:H103"/>
    <mergeCell ref="G16:G17"/>
    <mergeCell ref="H16:H17"/>
    <mergeCell ref="G20:G23"/>
    <mergeCell ref="H20:H23"/>
    <mergeCell ref="G24:G31"/>
    <mergeCell ref="H24:H31"/>
    <mergeCell ref="G32:G33"/>
    <mergeCell ref="H32:H33"/>
    <mergeCell ref="G39:G40"/>
    <mergeCell ref="H39:H40"/>
    <mergeCell ref="C39:C40"/>
    <mergeCell ref="B82:B83"/>
    <mergeCell ref="C82:C83"/>
    <mergeCell ref="D82:D83"/>
    <mergeCell ref="E82:E83"/>
    <mergeCell ref="F82:F83"/>
    <mergeCell ref="B89:B90"/>
    <mergeCell ref="C89:C90"/>
    <mergeCell ref="D89:D90"/>
    <mergeCell ref="E89:E90"/>
    <mergeCell ref="F89:F90"/>
    <mergeCell ref="B63:B64"/>
    <mergeCell ref="C63:C64"/>
    <mergeCell ref="D63:D64"/>
    <mergeCell ref="E63:E64"/>
    <mergeCell ref="F63:F64"/>
    <mergeCell ref="B39:B40"/>
    <mergeCell ref="B80:B81"/>
    <mergeCell ref="C80:C81"/>
    <mergeCell ref="D80:D81"/>
    <mergeCell ref="E80:E81"/>
    <mergeCell ref="F80:F81"/>
    <mergeCell ref="B78:B79"/>
    <mergeCell ref="C78:C79"/>
    <mergeCell ref="B16:B17"/>
    <mergeCell ref="B20:B23"/>
    <mergeCell ref="C20:C23"/>
    <mergeCell ref="D20:D23"/>
    <mergeCell ref="C16:C17"/>
    <mergeCell ref="D16:D17"/>
    <mergeCell ref="E16:E17"/>
    <mergeCell ref="F16:F17"/>
    <mergeCell ref="B32:B33"/>
    <mergeCell ref="C32:C33"/>
    <mergeCell ref="D32:D33"/>
    <mergeCell ref="E32:E33"/>
    <mergeCell ref="F32:F33"/>
    <mergeCell ref="B24:B31"/>
    <mergeCell ref="C24:C31"/>
    <mergeCell ref="D24:D31"/>
    <mergeCell ref="E24:E31"/>
    <mergeCell ref="F24:F31"/>
    <mergeCell ref="C65:C66"/>
    <mergeCell ref="D65:D66"/>
    <mergeCell ref="E65:E66"/>
    <mergeCell ref="F65:F66"/>
    <mergeCell ref="B68:B69"/>
    <mergeCell ref="C68:C69"/>
    <mergeCell ref="D68:D69"/>
    <mergeCell ref="E68:E69"/>
    <mergeCell ref="F68:F69"/>
    <mergeCell ref="B65:B66"/>
    <mergeCell ref="D11:E11"/>
    <mergeCell ref="D12:E12"/>
    <mergeCell ref="F102:F103"/>
    <mergeCell ref="D102:D103"/>
    <mergeCell ref="E102:E103"/>
    <mergeCell ref="D97:D98"/>
    <mergeCell ref="E97:E98"/>
    <mergeCell ref="F97:F98"/>
    <mergeCell ref="D100:D101"/>
    <mergeCell ref="E100:E101"/>
    <mergeCell ref="F100:F101"/>
    <mergeCell ref="D78:D79"/>
    <mergeCell ref="E78:E79"/>
    <mergeCell ref="F78:F79"/>
    <mergeCell ref="E20:E23"/>
    <mergeCell ref="F20:F23"/>
    <mergeCell ref="D39:D40"/>
    <mergeCell ref="E39:E40"/>
    <mergeCell ref="F39:F40"/>
    <mergeCell ref="G80:G81"/>
    <mergeCell ref="H80:H81"/>
    <mergeCell ref="G82:G83"/>
    <mergeCell ref="H82:H83"/>
    <mergeCell ref="G89:G90"/>
    <mergeCell ref="B74:B77"/>
    <mergeCell ref="C74:C77"/>
    <mergeCell ref="D74:D77"/>
    <mergeCell ref="E74:E77"/>
    <mergeCell ref="F74:F77"/>
    <mergeCell ref="G63:G64"/>
    <mergeCell ref="H63:H64"/>
    <mergeCell ref="G65:G66"/>
    <mergeCell ref="H65:H66"/>
    <mergeCell ref="G68:G69"/>
    <mergeCell ref="H68:H69"/>
    <mergeCell ref="G74:G77"/>
    <mergeCell ref="H74:H77"/>
    <mergeCell ref="G78:G79"/>
    <mergeCell ref="H78:H79"/>
    <mergeCell ref="B105:B118"/>
    <mergeCell ref="C105:C118"/>
    <mergeCell ref="D105:D118"/>
    <mergeCell ref="E105:E118"/>
    <mergeCell ref="B93:B94"/>
    <mergeCell ref="C93:C94"/>
    <mergeCell ref="D93:D94"/>
    <mergeCell ref="E93:E94"/>
    <mergeCell ref="F93:F94"/>
    <mergeCell ref="B102:B103"/>
    <mergeCell ref="C102:C103"/>
    <mergeCell ref="B100:B101"/>
    <mergeCell ref="C100:C101"/>
    <mergeCell ref="B97:B98"/>
    <mergeCell ref="C97:C98"/>
    <mergeCell ref="F105:F118"/>
  </mergeCells>
  <hyperlinks>
    <hyperlink ref="A1" location="Contenido!A1" display="Volver al Contenido" xr:uid="{2C50B8C2-4548-46A5-8F29-3CFE9C2E4989}"/>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D0147-8CBD-4EED-9C78-5E020470C0D4}">
  <dimension ref="A1:X273"/>
  <sheetViews>
    <sheetView showGridLines="0" zoomScale="90" zoomScaleNormal="90" workbookViewId="0">
      <pane xSplit="2" ySplit="7" topLeftCell="U38" activePane="bottomRight" state="frozen"/>
      <selection pane="topRight" activeCell="C1" sqref="C1"/>
      <selection pane="bottomLeft" activeCell="A7" sqref="A7"/>
      <selection pane="bottomRight"/>
    </sheetView>
  </sheetViews>
  <sheetFormatPr baseColWidth="10" defaultColWidth="11.453125" defaultRowHeight="14.5"/>
  <cols>
    <col min="1" max="1" width="4.1796875" style="46" customWidth="1"/>
    <col min="2" max="2" width="73" style="46" customWidth="1"/>
    <col min="3" max="8" width="15.54296875" style="46" bestFit="1" customWidth="1"/>
    <col min="9" max="9" width="16" style="46" customWidth="1"/>
    <col min="10" max="10" width="15.54296875" style="46" bestFit="1" customWidth="1"/>
    <col min="11" max="11" width="15.1796875" style="46" customWidth="1"/>
    <col min="12" max="13" width="16" style="46" customWidth="1"/>
    <col min="14" max="14" width="15.54296875" style="46" bestFit="1" customWidth="1"/>
    <col min="15" max="15" width="18.1796875" style="46" customWidth="1"/>
    <col min="16" max="19" width="15.453125" style="46" customWidth="1"/>
    <col min="20" max="20" width="14.1796875" style="46" bestFit="1" customWidth="1"/>
    <col min="21" max="21" width="3.7265625" style="46" customWidth="1"/>
    <col min="22" max="22" width="53" style="46" bestFit="1" customWidth="1"/>
    <col min="23" max="24" width="15.26953125" style="46" bestFit="1" customWidth="1"/>
    <col min="25" max="16384" width="11.453125" style="46"/>
  </cols>
  <sheetData>
    <row r="1" spans="1:24">
      <c r="A1" s="2" t="s">
        <v>16</v>
      </c>
    </row>
    <row r="3" spans="1:24" ht="15.5">
      <c r="A3" s="56" t="s">
        <v>104</v>
      </c>
      <c r="B3" s="12" t="s">
        <v>105</v>
      </c>
      <c r="C3" s="6"/>
      <c r="D3" s="6"/>
      <c r="E3" s="7"/>
      <c r="F3" s="6"/>
      <c r="G3" s="6"/>
      <c r="H3" s="6"/>
      <c r="I3" s="7"/>
      <c r="J3" s="6"/>
      <c r="K3" s="6"/>
      <c r="L3" s="6"/>
      <c r="M3" s="7"/>
      <c r="N3" s="6"/>
      <c r="O3" s="78"/>
    </row>
    <row r="4" spans="1:24" ht="15.5">
      <c r="B4" s="14" t="s">
        <v>18</v>
      </c>
      <c r="C4" s="79"/>
      <c r="D4" s="79"/>
      <c r="E4" s="79"/>
      <c r="F4" s="79"/>
      <c r="G4" s="79"/>
      <c r="H4" s="79"/>
      <c r="I4" s="79"/>
      <c r="J4" s="79"/>
      <c r="K4" s="79"/>
      <c r="L4" s="79"/>
      <c r="M4" s="79"/>
      <c r="N4" s="79"/>
      <c r="O4" s="78"/>
    </row>
    <row r="5" spans="1:24" ht="15.5">
      <c r="B5" s="14"/>
      <c r="C5" s="79"/>
      <c r="D5" s="79"/>
      <c r="E5" s="79"/>
      <c r="F5" s="79"/>
      <c r="G5" s="79"/>
      <c r="H5" s="79"/>
      <c r="I5" s="79"/>
      <c r="J5" s="79"/>
      <c r="K5" s="79"/>
      <c r="L5" s="79"/>
      <c r="M5" s="79"/>
      <c r="N5" s="79"/>
      <c r="O5" s="78"/>
    </row>
    <row r="6" spans="1:24" ht="15.5">
      <c r="B6" s="9"/>
      <c r="C6" s="9"/>
      <c r="D6" s="9"/>
      <c r="E6" s="9"/>
      <c r="F6" s="9"/>
      <c r="G6" s="9"/>
      <c r="H6" s="9"/>
      <c r="I6" s="9"/>
      <c r="J6" s="9"/>
      <c r="K6" s="9"/>
      <c r="L6" s="9"/>
      <c r="M6" s="9"/>
      <c r="N6" s="9"/>
      <c r="O6" s="78"/>
    </row>
    <row r="7" spans="1:24" s="32" customFormat="1" ht="15.5">
      <c r="B7" s="80"/>
      <c r="C7" s="81">
        <v>2016</v>
      </c>
      <c r="D7" s="81">
        <v>2017</v>
      </c>
      <c r="E7" s="81" t="s">
        <v>19</v>
      </c>
      <c r="F7" s="81" t="s">
        <v>20</v>
      </c>
      <c r="G7" s="81" t="s">
        <v>21</v>
      </c>
      <c r="H7" s="81" t="s">
        <v>22</v>
      </c>
      <c r="I7" s="81" t="s">
        <v>23</v>
      </c>
      <c r="J7" s="81" t="s">
        <v>24</v>
      </c>
      <c r="K7" s="81" t="s">
        <v>25</v>
      </c>
      <c r="L7" s="81" t="s">
        <v>26</v>
      </c>
      <c r="M7" s="81" t="s">
        <v>27</v>
      </c>
      <c r="N7" s="81" t="s">
        <v>28</v>
      </c>
      <c r="O7" s="81" t="s">
        <v>29</v>
      </c>
      <c r="P7" s="81" t="s">
        <v>722</v>
      </c>
      <c r="Q7" s="345" t="s">
        <v>739</v>
      </c>
      <c r="R7" s="345" t="s">
        <v>912</v>
      </c>
      <c r="S7" s="345" t="s">
        <v>1051</v>
      </c>
      <c r="T7" s="345" t="s">
        <v>1089</v>
      </c>
      <c r="U7" s="46"/>
      <c r="W7" s="345" t="s">
        <v>1109</v>
      </c>
      <c r="X7" s="345" t="s">
        <v>1190</v>
      </c>
    </row>
    <row r="8" spans="1:24" ht="15.5">
      <c r="B8" s="82"/>
      <c r="C8" s="9"/>
      <c r="D8" s="9"/>
      <c r="E8" s="9"/>
      <c r="F8" s="9"/>
      <c r="G8" s="9"/>
      <c r="H8" s="9"/>
      <c r="I8" s="9"/>
      <c r="J8" s="9"/>
      <c r="K8" s="9"/>
      <c r="L8" s="9"/>
      <c r="M8" s="637"/>
      <c r="N8" s="637"/>
      <c r="O8" s="637"/>
    </row>
    <row r="9" spans="1:24" ht="15.5">
      <c r="B9" s="83" t="s">
        <v>106</v>
      </c>
      <c r="C9" s="84">
        <v>837439</v>
      </c>
      <c r="D9" s="84">
        <v>805898</v>
      </c>
      <c r="E9" s="84">
        <v>202706</v>
      </c>
      <c r="F9" s="84">
        <v>203436</v>
      </c>
      <c r="G9" s="84">
        <v>209060</v>
      </c>
      <c r="H9" s="84">
        <v>211029</v>
      </c>
      <c r="I9" s="84">
        <v>216677</v>
      </c>
      <c r="J9" s="84">
        <v>217960</v>
      </c>
      <c r="K9" s="84">
        <v>230260</v>
      </c>
      <c r="L9" s="84">
        <v>229258</v>
      </c>
      <c r="M9" s="337">
        <v>247540</v>
      </c>
      <c r="N9" s="337">
        <v>248543</v>
      </c>
      <c r="O9" s="337">
        <v>244340</v>
      </c>
      <c r="P9" s="337">
        <f>975322-O9-N9-M9</f>
        <v>234899</v>
      </c>
      <c r="Q9" s="337">
        <v>251022</v>
      </c>
      <c r="R9" s="337">
        <v>260188</v>
      </c>
      <c r="S9" s="337">
        <v>267790</v>
      </c>
      <c r="T9" s="337">
        <v>304385</v>
      </c>
      <c r="V9" s="83" t="s">
        <v>106</v>
      </c>
      <c r="W9" s="337">
        <v>348348</v>
      </c>
      <c r="X9" s="337">
        <f>+'[36]ISA(E)'!X9</f>
        <v>359895</v>
      </c>
    </row>
    <row r="10" spans="1:24" ht="15.5">
      <c r="B10" s="83" t="s">
        <v>107</v>
      </c>
      <c r="C10" s="84">
        <v>20887</v>
      </c>
      <c r="D10" s="84">
        <v>64590</v>
      </c>
      <c r="E10" s="84">
        <v>15695</v>
      </c>
      <c r="F10" s="84">
        <v>11937</v>
      </c>
      <c r="G10" s="84">
        <v>26749</v>
      </c>
      <c r="H10" s="84">
        <v>63631</v>
      </c>
      <c r="I10" s="84">
        <v>62304</v>
      </c>
      <c r="J10" s="84">
        <v>58386</v>
      </c>
      <c r="K10" s="84">
        <v>65690</v>
      </c>
      <c r="L10" s="84">
        <v>61101</v>
      </c>
      <c r="M10" s="337">
        <v>57851</v>
      </c>
      <c r="N10" s="337">
        <v>61311</v>
      </c>
      <c r="O10" s="337">
        <v>61687</v>
      </c>
      <c r="P10" s="337">
        <f>246402-O10-N10-M10</f>
        <v>65553</v>
      </c>
      <c r="Q10" s="337">
        <v>76884</v>
      </c>
      <c r="R10" s="337">
        <v>77767</v>
      </c>
      <c r="S10" s="337">
        <v>79926</v>
      </c>
      <c r="T10" s="337">
        <v>55882</v>
      </c>
      <c r="V10" s="83" t="s">
        <v>107</v>
      </c>
      <c r="W10" s="337">
        <v>37341</v>
      </c>
      <c r="X10" s="337">
        <f>+'[36]ISA(E)'!X10</f>
        <v>37969</v>
      </c>
    </row>
    <row r="11" spans="1:24" ht="15.5">
      <c r="B11" s="83" t="s">
        <v>108</v>
      </c>
      <c r="C11" s="84">
        <v>2166</v>
      </c>
      <c r="D11" s="84">
        <v>2176</v>
      </c>
      <c r="E11" s="84">
        <v>551</v>
      </c>
      <c r="F11" s="84">
        <v>553</v>
      </c>
      <c r="G11" s="84">
        <v>556</v>
      </c>
      <c r="H11" s="84">
        <v>568</v>
      </c>
      <c r="I11" s="84">
        <v>559</v>
      </c>
      <c r="J11" s="84">
        <v>579</v>
      </c>
      <c r="K11" s="84">
        <v>584</v>
      </c>
      <c r="L11" s="84">
        <v>591</v>
      </c>
      <c r="M11" s="337">
        <v>589</v>
      </c>
      <c r="N11" s="337">
        <v>592</v>
      </c>
      <c r="O11" s="337">
        <v>593</v>
      </c>
      <c r="P11" s="337">
        <f>2372-O11-N11-M11</f>
        <v>598</v>
      </c>
      <c r="Q11" s="337">
        <v>609</v>
      </c>
      <c r="R11" s="337">
        <v>653</v>
      </c>
      <c r="S11" s="337">
        <v>664</v>
      </c>
      <c r="T11" s="337">
        <v>688</v>
      </c>
      <c r="V11" s="83" t="s">
        <v>108</v>
      </c>
      <c r="W11" s="337">
        <v>792</v>
      </c>
      <c r="X11" s="337">
        <f>+'[36]ISA(E)'!X11</f>
        <v>838</v>
      </c>
    </row>
    <row r="12" spans="1:24" ht="15.5">
      <c r="B12" s="83" t="s">
        <v>109</v>
      </c>
      <c r="C12" s="84">
        <v>10847</v>
      </c>
      <c r="D12" s="84">
        <v>6472</v>
      </c>
      <c r="E12" s="84">
        <v>288</v>
      </c>
      <c r="F12" s="84">
        <v>2495</v>
      </c>
      <c r="G12" s="84">
        <v>543</v>
      </c>
      <c r="H12" s="84">
        <v>3662</v>
      </c>
      <c r="I12" s="84">
        <v>986</v>
      </c>
      <c r="J12" s="84">
        <v>3555</v>
      </c>
      <c r="K12" s="84">
        <v>722</v>
      </c>
      <c r="L12" s="84">
        <v>1454</v>
      </c>
      <c r="M12" s="337">
        <v>556</v>
      </c>
      <c r="N12" s="337">
        <v>2386</v>
      </c>
      <c r="O12" s="337">
        <v>2065</v>
      </c>
      <c r="P12" s="337">
        <f>6533-O12-N12-M12</f>
        <v>1526</v>
      </c>
      <c r="Q12" s="337">
        <v>1829</v>
      </c>
      <c r="R12" s="337">
        <v>2018</v>
      </c>
      <c r="S12" s="337">
        <v>354</v>
      </c>
      <c r="T12" s="337">
        <v>1046</v>
      </c>
      <c r="V12" s="83" t="s">
        <v>109</v>
      </c>
      <c r="W12" s="337">
        <v>-139</v>
      </c>
      <c r="X12" s="337">
        <f>+'[36]ISA(E)'!X12</f>
        <v>440</v>
      </c>
    </row>
    <row r="13" spans="1:24" ht="15.5">
      <c r="B13" s="83" t="s">
        <v>110</v>
      </c>
      <c r="C13" s="84">
        <v>979</v>
      </c>
      <c r="D13" s="84">
        <v>3784</v>
      </c>
      <c r="E13" s="84">
        <v>197</v>
      </c>
      <c r="F13" s="84">
        <v>228</v>
      </c>
      <c r="G13" s="84">
        <v>202</v>
      </c>
      <c r="H13" s="84">
        <v>3836</v>
      </c>
      <c r="I13" s="84">
        <v>405</v>
      </c>
      <c r="J13" s="84">
        <v>405</v>
      </c>
      <c r="K13" s="84">
        <v>405</v>
      </c>
      <c r="L13" s="84">
        <v>405</v>
      </c>
      <c r="M13" s="337">
        <v>195</v>
      </c>
      <c r="N13" s="337">
        <v>80</v>
      </c>
      <c r="O13" s="337">
        <v>80</v>
      </c>
      <c r="P13" s="337">
        <f>418-O13-N13-M13</f>
        <v>63</v>
      </c>
      <c r="Q13" s="337">
        <v>46</v>
      </c>
      <c r="R13" s="337">
        <v>54</v>
      </c>
      <c r="S13" s="337">
        <v>54</v>
      </c>
      <c r="T13" s="337">
        <v>54</v>
      </c>
      <c r="V13" s="83" t="s">
        <v>110</v>
      </c>
      <c r="W13" s="337">
        <v>0</v>
      </c>
      <c r="X13" s="337">
        <f>+'[36]ISA(E)'!X13</f>
        <v>0</v>
      </c>
    </row>
    <row r="14" spans="1:24" ht="15.5">
      <c r="B14" s="83" t="s">
        <v>39</v>
      </c>
      <c r="C14" s="84">
        <v>8923</v>
      </c>
      <c r="D14" s="84">
        <v>6319</v>
      </c>
      <c r="E14" s="84">
        <v>63172</v>
      </c>
      <c r="F14" s="84">
        <v>2324</v>
      </c>
      <c r="G14" s="84">
        <v>3437</v>
      </c>
      <c r="H14" s="84">
        <v>-1634</v>
      </c>
      <c r="I14" s="84">
        <v>1275</v>
      </c>
      <c r="J14" s="84">
        <v>2305</v>
      </c>
      <c r="K14" s="84">
        <v>1938</v>
      </c>
      <c r="L14" s="84">
        <v>1964</v>
      </c>
      <c r="M14" s="337">
        <v>2013</v>
      </c>
      <c r="N14" s="337">
        <v>2182</v>
      </c>
      <c r="O14" s="337">
        <v>2150</v>
      </c>
      <c r="P14" s="337">
        <f>8438-O14-N14-M14</f>
        <v>2093</v>
      </c>
      <c r="Q14" s="337">
        <v>3135</v>
      </c>
      <c r="R14" s="337">
        <v>2112</v>
      </c>
      <c r="S14" s="337">
        <v>2338</v>
      </c>
      <c r="T14" s="337">
        <v>2401</v>
      </c>
      <c r="V14" s="83" t="s">
        <v>39</v>
      </c>
      <c r="W14" s="337">
        <v>4594</v>
      </c>
      <c r="X14" s="337">
        <f>+'[36]ISA(E)'!X14</f>
        <v>2575</v>
      </c>
    </row>
    <row r="15" spans="1:24" ht="15.5">
      <c r="B15" s="83" t="s">
        <v>40</v>
      </c>
      <c r="C15" s="84">
        <v>138135</v>
      </c>
      <c r="D15" s="84">
        <v>137075</v>
      </c>
      <c r="E15" s="84">
        <v>38850</v>
      </c>
      <c r="F15" s="84">
        <v>27810</v>
      </c>
      <c r="G15" s="84">
        <v>30029</v>
      </c>
      <c r="H15" s="84">
        <v>33058</v>
      </c>
      <c r="I15" s="84">
        <v>43956</v>
      </c>
      <c r="J15" s="84">
        <v>34908</v>
      </c>
      <c r="K15" s="84">
        <v>32330</v>
      </c>
      <c r="L15" s="84">
        <v>45151</v>
      </c>
      <c r="M15" s="337">
        <v>46417</v>
      </c>
      <c r="N15" s="337">
        <v>34301</v>
      </c>
      <c r="O15" s="337">
        <v>33304</v>
      </c>
      <c r="P15" s="337">
        <f>164657-O15-N15-M15</f>
        <v>50635</v>
      </c>
      <c r="Q15" s="337">
        <v>35957</v>
      </c>
      <c r="R15" s="337">
        <v>50598</v>
      </c>
      <c r="S15" s="337">
        <v>38459</v>
      </c>
      <c r="T15" s="337">
        <v>57181</v>
      </c>
      <c r="V15" s="83" t="s">
        <v>40</v>
      </c>
      <c r="W15" s="337">
        <v>50600</v>
      </c>
      <c r="X15" s="337">
        <f>+'[36]ISA(E)'!X15</f>
        <v>40779</v>
      </c>
    </row>
    <row r="16" spans="1:24" ht="15.5">
      <c r="B16" s="85" t="s">
        <v>111</v>
      </c>
      <c r="C16" s="86">
        <v>743106</v>
      </c>
      <c r="D16" s="86">
        <v>752164</v>
      </c>
      <c r="E16" s="86">
        <v>243759</v>
      </c>
      <c r="F16" s="86">
        <v>193163</v>
      </c>
      <c r="G16" s="86">
        <v>210518</v>
      </c>
      <c r="H16" s="86">
        <v>248034</v>
      </c>
      <c r="I16" s="86">
        <v>238250</v>
      </c>
      <c r="J16" s="86">
        <v>248282</v>
      </c>
      <c r="K16" s="86">
        <v>267269</v>
      </c>
      <c r="L16" s="86">
        <v>249622</v>
      </c>
      <c r="M16" s="338">
        <v>262327</v>
      </c>
      <c r="N16" s="338">
        <v>280793</v>
      </c>
      <c r="O16" s="338">
        <v>277611</v>
      </c>
      <c r="P16" s="338">
        <f>+SUM(P9:P14)-P15</f>
        <v>254097</v>
      </c>
      <c r="Q16" s="338">
        <f>+SUM(Q9:Q14)-Q15</f>
        <v>297568</v>
      </c>
      <c r="R16" s="338">
        <v>292194</v>
      </c>
      <c r="S16" s="338">
        <f>+SUM(S9:S14)-S15</f>
        <v>312667</v>
      </c>
      <c r="T16" s="338">
        <f>+SUM(T9:T14)-T15</f>
        <v>307275</v>
      </c>
      <c r="V16" s="83" t="s">
        <v>43</v>
      </c>
      <c r="W16" s="337">
        <v>55495</v>
      </c>
      <c r="X16" s="337">
        <f>+'[36]ISA(E)'!X16</f>
        <v>50268</v>
      </c>
    </row>
    <row r="17" spans="1:24" ht="15.5">
      <c r="B17" s="82"/>
      <c r="C17" s="9"/>
      <c r="D17" s="9"/>
      <c r="E17" s="9"/>
      <c r="F17" s="9"/>
      <c r="G17" s="9"/>
      <c r="H17" s="9"/>
      <c r="I17" s="9"/>
      <c r="J17" s="9"/>
      <c r="K17" s="9"/>
      <c r="L17" s="9"/>
      <c r="M17" s="354"/>
      <c r="N17" s="354"/>
      <c r="O17" s="354"/>
      <c r="P17" s="45"/>
      <c r="Q17" s="354"/>
      <c r="R17" s="354"/>
      <c r="S17" s="354"/>
      <c r="T17" s="354"/>
      <c r="V17" s="85" t="s">
        <v>1114</v>
      </c>
      <c r="W17" s="338">
        <v>284841</v>
      </c>
      <c r="X17" s="338">
        <f>+'[36]ISA(E)'!X17</f>
        <v>310670</v>
      </c>
    </row>
    <row r="18" spans="1:24" ht="15.5">
      <c r="B18" s="83" t="s">
        <v>43</v>
      </c>
      <c r="C18" s="84">
        <v>189361</v>
      </c>
      <c r="D18" s="84">
        <v>166345</v>
      </c>
      <c r="E18" s="84">
        <v>44671</v>
      </c>
      <c r="F18" s="84">
        <v>43742</v>
      </c>
      <c r="G18" s="84">
        <v>43552</v>
      </c>
      <c r="H18" s="84">
        <v>34912</v>
      </c>
      <c r="I18" s="84">
        <v>44008</v>
      </c>
      <c r="J18" s="84">
        <v>42137</v>
      </c>
      <c r="K18" s="84">
        <v>48383</v>
      </c>
      <c r="L18" s="84">
        <v>37586</v>
      </c>
      <c r="M18" s="337">
        <v>43933</v>
      </c>
      <c r="N18" s="337">
        <v>44289</v>
      </c>
      <c r="O18" s="337">
        <v>44095</v>
      </c>
      <c r="P18" s="337">
        <f>176786-O18-N18-M18</f>
        <v>44469</v>
      </c>
      <c r="Q18" s="337">
        <v>50132</v>
      </c>
      <c r="R18" s="337">
        <v>50598</v>
      </c>
      <c r="S18" s="337">
        <v>50158</v>
      </c>
      <c r="T18" s="337">
        <v>60290</v>
      </c>
    </row>
    <row r="19" spans="1:24" s="42" customFormat="1" ht="15.5">
      <c r="B19" s="609" t="s">
        <v>44</v>
      </c>
      <c r="C19" s="611">
        <v>1906783</v>
      </c>
      <c r="D19" s="611">
        <v>1128274</v>
      </c>
      <c r="E19" s="611">
        <v>203004</v>
      </c>
      <c r="F19" s="611">
        <v>175187</v>
      </c>
      <c r="G19" s="611">
        <v>344397</v>
      </c>
      <c r="H19" s="611">
        <v>350199</v>
      </c>
      <c r="I19" s="611">
        <v>277267</v>
      </c>
      <c r="J19" s="611">
        <v>359351</v>
      </c>
      <c r="K19" s="611">
        <v>332630</v>
      </c>
      <c r="L19" s="611">
        <v>318187</v>
      </c>
      <c r="M19" s="612">
        <f>272185+35517</f>
        <v>307702</v>
      </c>
      <c r="N19" s="612">
        <f>428492+28869</f>
        <v>457361</v>
      </c>
      <c r="O19" s="612">
        <f>361720+82358</f>
        <v>444078</v>
      </c>
      <c r="P19" s="612">
        <f>1621538-O19-N19-M19</f>
        <v>412397</v>
      </c>
      <c r="Q19" s="612">
        <v>384338</v>
      </c>
      <c r="R19" s="612">
        <v>442842</v>
      </c>
      <c r="S19" s="612">
        <v>158921</v>
      </c>
      <c r="T19" s="337">
        <v>362471</v>
      </c>
      <c r="U19" s="46"/>
      <c r="V19" s="609" t="s">
        <v>44</v>
      </c>
      <c r="W19" s="337">
        <v>300231</v>
      </c>
      <c r="X19" s="337">
        <f>+'[36]ISA(E)'!X19</f>
        <v>509143</v>
      </c>
    </row>
    <row r="20" spans="1:24" ht="15.5">
      <c r="B20" s="83" t="s">
        <v>45</v>
      </c>
      <c r="C20" s="84">
        <v>3226</v>
      </c>
      <c r="D20" s="84">
        <v>3930</v>
      </c>
      <c r="E20" s="84">
        <v>155</v>
      </c>
      <c r="F20" s="84">
        <v>-66</v>
      </c>
      <c r="G20" s="84">
        <v>1641</v>
      </c>
      <c r="H20" s="84">
        <v>-2449</v>
      </c>
      <c r="I20" s="84">
        <v>-902</v>
      </c>
      <c r="J20" s="84">
        <v>128</v>
      </c>
      <c r="K20" s="84">
        <v>-182</v>
      </c>
      <c r="L20" s="84">
        <v>17123</v>
      </c>
      <c r="M20" s="337">
        <v>2652</v>
      </c>
      <c r="N20" s="337">
        <v>-3454</v>
      </c>
      <c r="O20" s="337">
        <v>-3694</v>
      </c>
      <c r="P20" s="337">
        <f>-5866-O20-N20-M20</f>
        <v>-1370</v>
      </c>
      <c r="Q20" s="337">
        <v>1649</v>
      </c>
      <c r="R20" s="337">
        <v>13</v>
      </c>
      <c r="S20" s="337">
        <v>-34</v>
      </c>
      <c r="T20" s="337">
        <v>1888</v>
      </c>
      <c r="V20" s="83" t="s">
        <v>45</v>
      </c>
      <c r="W20" s="337">
        <v>1853</v>
      </c>
      <c r="X20" s="337">
        <f>+'[36]ISA(E)'!X20</f>
        <v>2033</v>
      </c>
    </row>
    <row r="21" spans="1:24" ht="15.5">
      <c r="B21" s="85" t="s">
        <v>46</v>
      </c>
      <c r="C21" s="87">
        <v>2463754</v>
      </c>
      <c r="D21" s="87">
        <v>1718023</v>
      </c>
      <c r="E21" s="87">
        <v>402247</v>
      </c>
      <c r="F21" s="87">
        <v>324542</v>
      </c>
      <c r="G21" s="87">
        <v>513004</v>
      </c>
      <c r="H21" s="87">
        <v>560872</v>
      </c>
      <c r="I21" s="87">
        <v>470607</v>
      </c>
      <c r="J21" s="87">
        <v>565624</v>
      </c>
      <c r="K21" s="87">
        <v>551334</v>
      </c>
      <c r="L21" s="87">
        <v>547346</v>
      </c>
      <c r="M21" s="339">
        <f t="shared" ref="M21:N21" si="0">+M16-M18+M19+M20</f>
        <v>528748</v>
      </c>
      <c r="N21" s="339">
        <f t="shared" si="0"/>
        <v>690411</v>
      </c>
      <c r="O21" s="339">
        <f>+O16-O18+O19+O20</f>
        <v>673900</v>
      </c>
      <c r="P21" s="339">
        <f>+P16-P18+P19+P20</f>
        <v>620655</v>
      </c>
      <c r="Q21" s="339">
        <f>+Q16-Q18+Q19+Q20</f>
        <v>633423</v>
      </c>
      <c r="R21" s="339">
        <v>684451</v>
      </c>
      <c r="S21" s="339">
        <f>+S16-S18+S19+S20</f>
        <v>421396</v>
      </c>
      <c r="T21" s="339">
        <f t="shared" ref="T21" si="1">+T16-T18+T19+T20</f>
        <v>611344</v>
      </c>
      <c r="V21" s="85" t="s">
        <v>46</v>
      </c>
      <c r="W21" s="339">
        <v>586925</v>
      </c>
      <c r="X21" s="339">
        <f>+'[36]ISA(E)'!X21</f>
        <v>821846</v>
      </c>
    </row>
    <row r="22" spans="1:24" ht="15.5">
      <c r="B22" s="83"/>
      <c r="C22" s="84"/>
      <c r="D22" s="84"/>
      <c r="E22" s="84"/>
      <c r="F22" s="84"/>
      <c r="G22" s="84"/>
      <c r="H22" s="84"/>
      <c r="I22" s="84"/>
      <c r="J22" s="84"/>
      <c r="K22" s="84"/>
      <c r="L22" s="84"/>
      <c r="M22" s="337"/>
      <c r="N22" s="337"/>
      <c r="O22" s="337"/>
      <c r="P22" s="337"/>
      <c r="Q22" s="337"/>
      <c r="R22" s="337">
        <v>0</v>
      </c>
      <c r="S22" s="337"/>
      <c r="T22" s="337"/>
    </row>
    <row r="23" spans="1:24" ht="15.5">
      <c r="B23" s="83" t="s">
        <v>47</v>
      </c>
      <c r="C23" s="84">
        <v>-229899</v>
      </c>
      <c r="D23" s="84">
        <v>-201518</v>
      </c>
      <c r="E23" s="84">
        <v>-74633</v>
      </c>
      <c r="F23" s="84">
        <v>-47454</v>
      </c>
      <c r="G23" s="84">
        <v>-70599</v>
      </c>
      <c r="H23" s="84">
        <v>-62062</v>
      </c>
      <c r="I23" s="84">
        <v>-75783</v>
      </c>
      <c r="J23" s="84">
        <v>-84448</v>
      </c>
      <c r="K23" s="84">
        <v>-91659</v>
      </c>
      <c r="L23" s="84">
        <v>-74286</v>
      </c>
      <c r="M23" s="337">
        <v>-95269</v>
      </c>
      <c r="N23" s="337">
        <f>-70381-2</f>
        <v>-70383</v>
      </c>
      <c r="O23" s="337">
        <f>-66586+2</f>
        <v>-66584</v>
      </c>
      <c r="P23" s="337">
        <f>-296835-O23-N23-M23</f>
        <v>-64599</v>
      </c>
      <c r="Q23" s="337">
        <v>-56641</v>
      </c>
      <c r="R23" s="337">
        <v>-65074</v>
      </c>
      <c r="S23" s="337">
        <v>-90635</v>
      </c>
      <c r="T23" s="337">
        <v>-118177</v>
      </c>
      <c r="V23" s="83" t="s">
        <v>47</v>
      </c>
      <c r="W23" s="337">
        <v>-97526</v>
      </c>
      <c r="X23" s="337">
        <f>+'[36]ISA(E)'!X23</f>
        <v>-89459</v>
      </c>
    </row>
    <row r="24" spans="1:24" ht="15.5">
      <c r="B24" s="85" t="s">
        <v>48</v>
      </c>
      <c r="C24" s="87">
        <v>2233855</v>
      </c>
      <c r="D24" s="87">
        <v>1516505</v>
      </c>
      <c r="E24" s="87">
        <v>327614</v>
      </c>
      <c r="F24" s="87">
        <v>277088</v>
      </c>
      <c r="G24" s="87">
        <v>442405</v>
      </c>
      <c r="H24" s="87">
        <v>498810</v>
      </c>
      <c r="I24" s="87">
        <v>394824</v>
      </c>
      <c r="J24" s="87">
        <v>481176</v>
      </c>
      <c r="K24" s="87">
        <v>459675</v>
      </c>
      <c r="L24" s="87">
        <v>473060</v>
      </c>
      <c r="M24" s="339">
        <f t="shared" ref="M24:O24" si="2">+M21+M23</f>
        <v>433479</v>
      </c>
      <c r="N24" s="339">
        <f t="shared" si="2"/>
        <v>620028</v>
      </c>
      <c r="O24" s="339">
        <f t="shared" si="2"/>
        <v>607316</v>
      </c>
      <c r="P24" s="339">
        <f>+P21+P23</f>
        <v>556056</v>
      </c>
      <c r="Q24" s="339">
        <f>+Q21+Q23</f>
        <v>576782</v>
      </c>
      <c r="R24" s="339">
        <v>619377</v>
      </c>
      <c r="S24" s="339">
        <f>+S21+S23</f>
        <v>330761</v>
      </c>
      <c r="T24" s="339">
        <f>+T21+T23</f>
        <v>493167</v>
      </c>
      <c r="V24" s="85" t="s">
        <v>48</v>
      </c>
      <c r="W24" s="339">
        <v>489399</v>
      </c>
      <c r="X24" s="339">
        <f>+'[36]ISA(E)'!X24</f>
        <v>732387</v>
      </c>
    </row>
    <row r="25" spans="1:24" ht="15.5">
      <c r="B25" s="82"/>
      <c r="C25" s="9"/>
      <c r="D25" s="9"/>
      <c r="E25" s="9"/>
      <c r="F25" s="9"/>
      <c r="G25" s="9"/>
      <c r="H25" s="9"/>
      <c r="I25" s="9"/>
      <c r="J25" s="9"/>
      <c r="K25" s="9"/>
      <c r="L25" s="9"/>
      <c r="M25" s="354"/>
      <c r="N25" s="354"/>
      <c r="O25" s="354"/>
      <c r="P25" s="45"/>
      <c r="Q25" s="354"/>
      <c r="R25" s="354"/>
      <c r="S25" s="354"/>
      <c r="T25" s="354"/>
      <c r="V25" s="82"/>
    </row>
    <row r="26" spans="1:24" ht="15.5">
      <c r="B26" s="83" t="s">
        <v>49</v>
      </c>
      <c r="C26" s="84">
        <v>92395</v>
      </c>
      <c r="D26" s="84">
        <v>73797</v>
      </c>
      <c r="E26" s="84">
        <v>28846</v>
      </c>
      <c r="F26" s="84">
        <v>43637</v>
      </c>
      <c r="G26" s="84">
        <v>28184</v>
      </c>
      <c r="H26" s="84">
        <v>-83905</v>
      </c>
      <c r="I26" s="84">
        <v>40505</v>
      </c>
      <c r="J26" s="84">
        <v>40894</v>
      </c>
      <c r="K26" s="84">
        <v>52631</v>
      </c>
      <c r="L26" s="84">
        <v>31200</v>
      </c>
      <c r="M26" s="337">
        <v>18262</v>
      </c>
      <c r="N26" s="337">
        <v>39554</v>
      </c>
      <c r="O26" s="337">
        <v>39993</v>
      </c>
      <c r="P26" s="337">
        <f>153929-O26-N26-M26</f>
        <v>56120</v>
      </c>
      <c r="Q26" s="337">
        <v>55178</v>
      </c>
      <c r="R26" s="337">
        <v>47961</v>
      </c>
      <c r="S26" s="337">
        <v>209811</v>
      </c>
      <c r="T26" s="337">
        <v>48182</v>
      </c>
      <c r="V26" s="83" t="s">
        <v>49</v>
      </c>
      <c r="W26" s="337">
        <v>61449</v>
      </c>
      <c r="X26" s="337">
        <f>+'[36]ISA(E)'!X26</f>
        <v>64257</v>
      </c>
    </row>
    <row r="27" spans="1:24" ht="15.5">
      <c r="B27" s="85" t="s">
        <v>52</v>
      </c>
      <c r="C27" s="87">
        <v>2141460</v>
      </c>
      <c r="D27" s="87">
        <v>1442708</v>
      </c>
      <c r="E27" s="87">
        <v>298768</v>
      </c>
      <c r="F27" s="87">
        <v>233451</v>
      </c>
      <c r="G27" s="87">
        <v>414221</v>
      </c>
      <c r="H27" s="87">
        <v>582715</v>
      </c>
      <c r="I27" s="87">
        <v>354319</v>
      </c>
      <c r="J27" s="87">
        <v>440282</v>
      </c>
      <c r="K27" s="87">
        <v>407044</v>
      </c>
      <c r="L27" s="87">
        <v>441860</v>
      </c>
      <c r="M27" s="339">
        <f t="shared" ref="M27:O27" si="3">+M24-M26</f>
        <v>415217</v>
      </c>
      <c r="N27" s="339">
        <f t="shared" si="3"/>
        <v>580474</v>
      </c>
      <c r="O27" s="339">
        <f t="shared" si="3"/>
        <v>567323</v>
      </c>
      <c r="P27" s="339">
        <f>+P24-P26</f>
        <v>499936</v>
      </c>
      <c r="Q27" s="339">
        <f>+Q24-Q26</f>
        <v>521604</v>
      </c>
      <c r="R27" s="339">
        <v>571416</v>
      </c>
      <c r="S27" s="339">
        <f>+S24-S26</f>
        <v>120950</v>
      </c>
      <c r="T27" s="339">
        <f>+T24-T26</f>
        <v>444985</v>
      </c>
      <c r="V27" s="85" t="s">
        <v>52</v>
      </c>
      <c r="W27" s="339">
        <v>427950</v>
      </c>
      <c r="X27" s="339">
        <f>+'[36]ISA(E)'!X27</f>
        <v>668130</v>
      </c>
    </row>
    <row r="28" spans="1:24" ht="15.5">
      <c r="B28" s="78"/>
      <c r="C28" s="78"/>
      <c r="D28" s="78"/>
      <c r="E28" s="78"/>
      <c r="F28" s="78"/>
      <c r="G28" s="78"/>
      <c r="H28" s="78"/>
      <c r="I28" s="78"/>
      <c r="J28" s="78"/>
      <c r="K28" s="78"/>
      <c r="L28" s="78"/>
      <c r="M28" s="78"/>
      <c r="N28" s="78"/>
      <c r="O28" s="78"/>
      <c r="W28" s="670"/>
      <c r="X28" s="670"/>
    </row>
    <row r="29" spans="1:24" ht="15.5">
      <c r="B29" s="143"/>
      <c r="C29" s="78"/>
      <c r="D29" s="78"/>
      <c r="E29" s="78"/>
      <c r="F29" s="78"/>
      <c r="G29" s="78"/>
      <c r="H29" s="78"/>
      <c r="I29" s="78"/>
      <c r="J29" s="78"/>
      <c r="K29" s="78"/>
      <c r="L29" s="78"/>
      <c r="M29" s="78"/>
      <c r="N29" s="78"/>
      <c r="O29" s="78"/>
      <c r="V29" s="639" t="s">
        <v>42</v>
      </c>
      <c r="W29" s="339">
        <v>658358</v>
      </c>
      <c r="X29" s="339">
        <f>+'[36]ISA(E)'!X29</f>
        <v>873044</v>
      </c>
    </row>
    <row r="30" spans="1:24" ht="15.5">
      <c r="B30" s="78"/>
      <c r="C30" s="78"/>
      <c r="D30" s="78"/>
      <c r="E30" s="78"/>
      <c r="F30" s="78"/>
      <c r="G30" s="78"/>
      <c r="H30" s="78"/>
      <c r="I30" s="78"/>
      <c r="J30" s="78"/>
      <c r="K30" s="78"/>
      <c r="L30" s="78"/>
      <c r="M30" s="78"/>
      <c r="N30" s="78"/>
      <c r="O30" s="78"/>
    </row>
    <row r="31" spans="1:24" ht="15.5">
      <c r="A31" s="56" t="s">
        <v>104</v>
      </c>
      <c r="B31" s="12" t="s">
        <v>112</v>
      </c>
      <c r="C31" s="79"/>
      <c r="D31" s="79"/>
      <c r="E31" s="79"/>
      <c r="F31" s="79"/>
      <c r="G31" s="79"/>
      <c r="H31" s="88"/>
      <c r="I31" s="88"/>
      <c r="J31" s="88"/>
      <c r="K31" s="88"/>
      <c r="L31" s="88"/>
      <c r="M31" s="88"/>
      <c r="N31" s="88"/>
      <c r="O31" s="88"/>
    </row>
    <row r="32" spans="1:24" ht="15.5">
      <c r="B32" s="14" t="s">
        <v>54</v>
      </c>
      <c r="C32" s="79"/>
      <c r="D32" s="79"/>
      <c r="E32" s="79"/>
      <c r="F32" s="79"/>
      <c r="G32" s="79"/>
      <c r="H32" s="89"/>
      <c r="I32" s="89"/>
      <c r="J32" s="89"/>
      <c r="K32" s="89"/>
      <c r="L32" s="89"/>
      <c r="M32" s="89"/>
      <c r="N32" s="89"/>
      <c r="O32" s="89"/>
    </row>
    <row r="33" spans="2:24" ht="15.5">
      <c r="B33" s="90"/>
      <c r="C33" s="79"/>
      <c r="D33" s="79"/>
      <c r="E33" s="79"/>
      <c r="F33" s="79"/>
      <c r="G33" s="79"/>
      <c r="H33" s="90"/>
      <c r="I33" s="90"/>
      <c r="J33" s="90"/>
      <c r="K33" s="90"/>
      <c r="L33" s="90"/>
      <c r="M33" s="90"/>
      <c r="N33" s="90"/>
      <c r="O33" s="90"/>
    </row>
    <row r="34" spans="2:24" ht="16" thickBot="1">
      <c r="B34" s="91"/>
      <c r="C34" s="92"/>
      <c r="D34" s="92"/>
      <c r="E34" s="92"/>
      <c r="F34" s="92"/>
      <c r="G34" s="92"/>
      <c r="H34" s="92"/>
      <c r="I34" s="92"/>
      <c r="J34" s="92"/>
      <c r="K34" s="92"/>
      <c r="L34" s="92"/>
      <c r="M34" s="92"/>
      <c r="N34" s="92"/>
      <c r="O34" s="92"/>
      <c r="P34" s="92"/>
      <c r="Q34" s="361"/>
      <c r="R34" s="361"/>
      <c r="S34" s="361"/>
      <c r="T34" s="361"/>
      <c r="V34" s="91"/>
      <c r="W34" s="361"/>
      <c r="X34" s="361"/>
    </row>
    <row r="35" spans="2:24" ht="15.5" thickBot="1">
      <c r="B35" s="93" t="s">
        <v>55</v>
      </c>
      <c r="C35" s="94"/>
      <c r="D35" s="94"/>
      <c r="E35" s="94"/>
      <c r="F35" s="94"/>
      <c r="G35" s="94"/>
      <c r="H35" s="94"/>
      <c r="I35" s="94"/>
      <c r="J35" s="94"/>
      <c r="K35" s="94"/>
      <c r="L35" s="94"/>
      <c r="M35" s="94"/>
      <c r="N35" s="93"/>
      <c r="O35" s="93"/>
      <c r="P35" s="93"/>
      <c r="Q35" s="355"/>
      <c r="R35" s="355"/>
      <c r="S35" s="355"/>
      <c r="T35" s="355"/>
      <c r="V35" s="355" t="s">
        <v>55</v>
      </c>
      <c r="W35" s="355"/>
      <c r="X35" s="355"/>
    </row>
    <row r="36" spans="2:24" ht="15.5" thickBot="1">
      <c r="B36" s="95" t="s">
        <v>56</v>
      </c>
      <c r="C36" s="96"/>
      <c r="D36" s="96"/>
      <c r="E36" s="96"/>
      <c r="F36" s="96"/>
      <c r="G36" s="96"/>
      <c r="H36" s="96"/>
      <c r="I36" s="96"/>
      <c r="J36" s="96"/>
      <c r="K36" s="96"/>
      <c r="L36" s="96"/>
      <c r="M36" s="96"/>
      <c r="N36" s="96"/>
      <c r="O36" s="96"/>
      <c r="P36" s="96"/>
      <c r="Q36" s="362"/>
      <c r="R36" s="362"/>
      <c r="S36" s="362"/>
      <c r="T36" s="362"/>
      <c r="V36" s="95" t="s">
        <v>56</v>
      </c>
      <c r="W36" s="362"/>
      <c r="X36" s="362"/>
    </row>
    <row r="37" spans="2:24" ht="16" thickBot="1">
      <c r="B37" s="97" t="s">
        <v>57</v>
      </c>
      <c r="C37" s="98">
        <v>254496</v>
      </c>
      <c r="D37" s="98">
        <v>361188</v>
      </c>
      <c r="E37" s="98">
        <v>315607</v>
      </c>
      <c r="F37" s="98">
        <v>403075</v>
      </c>
      <c r="G37" s="98">
        <v>590299</v>
      </c>
      <c r="H37" s="98">
        <v>433807</v>
      </c>
      <c r="I37" s="98">
        <v>524315</v>
      </c>
      <c r="J37" s="98">
        <v>721146</v>
      </c>
      <c r="K37" s="98">
        <v>460247</v>
      </c>
      <c r="L37" s="98">
        <v>541371</v>
      </c>
      <c r="M37" s="98">
        <v>409376</v>
      </c>
      <c r="N37" s="98">
        <v>1060187</v>
      </c>
      <c r="O37" s="98">
        <v>1068640</v>
      </c>
      <c r="P37" s="325">
        <v>542198</v>
      </c>
      <c r="Q37" s="325">
        <v>617764</v>
      </c>
      <c r="R37" s="325">
        <v>1492654</v>
      </c>
      <c r="S37" s="325">
        <v>1205650</v>
      </c>
      <c r="T37" s="325">
        <v>545837</v>
      </c>
      <c r="V37" s="97" t="s">
        <v>57</v>
      </c>
      <c r="W37" s="325">
        <v>914679</v>
      </c>
      <c r="X37" s="325">
        <f>+'[36]ISA(E)'!Y37</f>
        <v>1081699</v>
      </c>
    </row>
    <row r="38" spans="2:24" ht="16" thickBot="1">
      <c r="B38" s="97" t="s">
        <v>58</v>
      </c>
      <c r="C38" s="98">
        <v>24008</v>
      </c>
      <c r="D38" s="98">
        <v>41776</v>
      </c>
      <c r="E38" s="98">
        <v>246287</v>
      </c>
      <c r="F38" s="98">
        <v>35401</v>
      </c>
      <c r="G38" s="98">
        <v>51428</v>
      </c>
      <c r="H38" s="98">
        <v>50199</v>
      </c>
      <c r="I38" s="98">
        <v>454588</v>
      </c>
      <c r="J38" s="98">
        <v>77976</v>
      </c>
      <c r="K38" s="98">
        <v>69730</v>
      </c>
      <c r="L38" s="98">
        <v>121792</v>
      </c>
      <c r="M38" s="98">
        <v>244445</v>
      </c>
      <c r="N38" s="98">
        <v>113023</v>
      </c>
      <c r="O38" s="98">
        <v>60469</v>
      </c>
      <c r="P38" s="325">
        <v>158541</v>
      </c>
      <c r="Q38" s="325">
        <v>627422</v>
      </c>
      <c r="R38" s="325">
        <v>176312</v>
      </c>
      <c r="S38" s="325">
        <v>98033</v>
      </c>
      <c r="T38" s="325">
        <v>274909</v>
      </c>
      <c r="V38" s="97" t="s">
        <v>58</v>
      </c>
      <c r="W38" s="325">
        <v>310361</v>
      </c>
      <c r="X38" s="325">
        <f>+'[36]ISA(E)'!Y38</f>
        <v>185590</v>
      </c>
    </row>
    <row r="39" spans="2:24" ht="16" thickBot="1">
      <c r="B39" s="97" t="s">
        <v>59</v>
      </c>
      <c r="C39" s="98">
        <v>23231</v>
      </c>
      <c r="D39" s="98">
        <v>20897</v>
      </c>
      <c r="E39" s="98">
        <v>55187</v>
      </c>
      <c r="F39" s="98">
        <v>89400</v>
      </c>
      <c r="G39" s="98">
        <v>88092</v>
      </c>
      <c r="H39" s="98">
        <v>37166</v>
      </c>
      <c r="I39" s="98">
        <v>57401</v>
      </c>
      <c r="J39" s="98">
        <v>44712</v>
      </c>
      <c r="K39" s="98">
        <v>66939</v>
      </c>
      <c r="L39" s="98">
        <v>41135</v>
      </c>
      <c r="M39" s="98">
        <v>68907</v>
      </c>
      <c r="N39" s="98">
        <v>99916</v>
      </c>
      <c r="O39" s="98">
        <v>126282</v>
      </c>
      <c r="P39" s="325">
        <v>68105</v>
      </c>
      <c r="Q39" s="325">
        <v>98117</v>
      </c>
      <c r="R39" s="325">
        <v>126604</v>
      </c>
      <c r="S39" s="325">
        <v>153369</v>
      </c>
      <c r="T39" s="325">
        <v>71331</v>
      </c>
      <c r="V39" s="97" t="s">
        <v>59</v>
      </c>
      <c r="W39" s="325">
        <v>78279</v>
      </c>
      <c r="X39" s="325">
        <f>+'[36]ISA(E)'!Y39</f>
        <v>89043</v>
      </c>
    </row>
    <row r="40" spans="2:24" ht="16" thickBot="1">
      <c r="B40" s="97" t="s">
        <v>61</v>
      </c>
      <c r="C40" s="98">
        <v>18150</v>
      </c>
      <c r="D40" s="98">
        <v>7786</v>
      </c>
      <c r="E40" s="98">
        <v>9401</v>
      </c>
      <c r="F40" s="98">
        <v>19984</v>
      </c>
      <c r="G40" s="98">
        <v>17092</v>
      </c>
      <c r="H40" s="98">
        <v>15188</v>
      </c>
      <c r="I40" s="98">
        <v>13600</v>
      </c>
      <c r="J40" s="98">
        <v>10298</v>
      </c>
      <c r="K40" s="98">
        <v>13428</v>
      </c>
      <c r="L40" s="98">
        <v>7798</v>
      </c>
      <c r="M40" s="98">
        <v>21194</v>
      </c>
      <c r="N40" s="98">
        <v>14017</v>
      </c>
      <c r="O40" s="98">
        <v>20591</v>
      </c>
      <c r="P40" s="325">
        <v>12676</v>
      </c>
      <c r="Q40" s="325">
        <v>12054</v>
      </c>
      <c r="R40" s="325">
        <v>22986</v>
      </c>
      <c r="S40" s="325">
        <v>25172</v>
      </c>
      <c r="T40" s="325">
        <v>19436</v>
      </c>
      <c r="V40" s="97" t="s">
        <v>61</v>
      </c>
      <c r="W40" s="325">
        <v>23805</v>
      </c>
      <c r="X40" s="325">
        <f>+'[36]ISA(E)'!Y40</f>
        <v>19603</v>
      </c>
    </row>
    <row r="41" spans="2:24" ht="16" thickBot="1">
      <c r="B41" s="97" t="s">
        <v>62</v>
      </c>
      <c r="C41" s="98">
        <v>38839</v>
      </c>
      <c r="D41" s="98">
        <v>210</v>
      </c>
      <c r="E41" s="98">
        <v>41275</v>
      </c>
      <c r="F41" s="98">
        <v>52291</v>
      </c>
      <c r="G41" s="98">
        <v>410</v>
      </c>
      <c r="H41" s="98">
        <v>407</v>
      </c>
      <c r="I41" s="98">
        <v>572</v>
      </c>
      <c r="J41" s="98">
        <v>1987</v>
      </c>
      <c r="K41" s="98">
        <v>913</v>
      </c>
      <c r="L41" s="98">
        <v>181</v>
      </c>
      <c r="M41" s="98">
        <v>2896</v>
      </c>
      <c r="N41" s="98">
        <v>6128</v>
      </c>
      <c r="O41" s="98">
        <v>9985</v>
      </c>
      <c r="P41" s="325">
        <v>6346</v>
      </c>
      <c r="Q41" s="325">
        <v>738</v>
      </c>
      <c r="R41" s="325">
        <v>0</v>
      </c>
      <c r="S41" s="325">
        <v>0</v>
      </c>
      <c r="T41" s="325">
        <v>0</v>
      </c>
      <c r="V41" s="97" t="s">
        <v>62</v>
      </c>
      <c r="W41" s="325">
        <v>0</v>
      </c>
      <c r="X41" s="325">
        <f>+'[36]ISA(E)'!Y41</f>
        <v>0</v>
      </c>
    </row>
    <row r="42" spans="2:24" ht="15.5" thickBot="1">
      <c r="B42" s="99" t="s">
        <v>63</v>
      </c>
      <c r="C42" s="100">
        <v>358724</v>
      </c>
      <c r="D42" s="100">
        <v>431857</v>
      </c>
      <c r="E42" s="100">
        <v>667757</v>
      </c>
      <c r="F42" s="100">
        <v>600151</v>
      </c>
      <c r="G42" s="100">
        <v>747321</v>
      </c>
      <c r="H42" s="100">
        <v>536767</v>
      </c>
      <c r="I42" s="100">
        <v>1050476</v>
      </c>
      <c r="J42" s="100">
        <v>856119</v>
      </c>
      <c r="K42" s="100">
        <v>611257</v>
      </c>
      <c r="L42" s="100">
        <v>712277</v>
      </c>
      <c r="M42" s="100">
        <v>746818</v>
      </c>
      <c r="N42" s="100">
        <v>1293271</v>
      </c>
      <c r="O42" s="100">
        <v>1285967</v>
      </c>
      <c r="P42" s="326">
        <f t="shared" ref="P42" si="4">SUM(P37:P41)</f>
        <v>787866</v>
      </c>
      <c r="Q42" s="326">
        <f t="shared" ref="Q42" si="5">SUM(Q37:Q41)</f>
        <v>1356095</v>
      </c>
      <c r="R42" s="326">
        <v>1818556</v>
      </c>
      <c r="S42" s="326">
        <f t="shared" ref="S42" si="6">SUM(S37:S41)</f>
        <v>1482224</v>
      </c>
      <c r="T42" s="326">
        <f t="shared" ref="T42" si="7">SUM(T37:T41)</f>
        <v>911513</v>
      </c>
      <c r="V42" s="99" t="s">
        <v>63</v>
      </c>
      <c r="W42" s="326">
        <v>1327124</v>
      </c>
      <c r="X42" s="326">
        <f>+'[36]ISA(E)'!Y42</f>
        <v>1375935</v>
      </c>
    </row>
    <row r="43" spans="2:24" ht="15.5" thickBot="1">
      <c r="B43" s="95" t="s">
        <v>64</v>
      </c>
      <c r="C43" s="96"/>
      <c r="D43" s="96"/>
      <c r="E43" s="96"/>
      <c r="F43" s="96"/>
      <c r="G43" s="96"/>
      <c r="H43" s="96"/>
      <c r="I43" s="96"/>
      <c r="J43" s="96"/>
      <c r="K43" s="96"/>
      <c r="L43" s="96"/>
      <c r="M43" s="96"/>
      <c r="N43" s="96"/>
      <c r="O43" s="96"/>
      <c r="P43" s="327"/>
      <c r="Q43" s="356"/>
      <c r="R43" s="356"/>
      <c r="S43" s="356"/>
      <c r="T43" s="356"/>
      <c r="V43" s="95" t="s">
        <v>64</v>
      </c>
      <c r="W43" s="356"/>
      <c r="X43" s="356">
        <f>+'[36]ISA(E)'!Y43</f>
        <v>0</v>
      </c>
    </row>
    <row r="44" spans="2:24" ht="16" thickBot="1">
      <c r="B44" s="97" t="s">
        <v>65</v>
      </c>
      <c r="C44" s="98">
        <v>20298</v>
      </c>
      <c r="D44" s="98">
        <v>16901</v>
      </c>
      <c r="E44" s="98">
        <v>13702</v>
      </c>
      <c r="F44" s="98">
        <v>12561</v>
      </c>
      <c r="G44" s="98">
        <v>10373</v>
      </c>
      <c r="H44" s="98">
        <v>10461</v>
      </c>
      <c r="I44" s="98">
        <v>12641</v>
      </c>
      <c r="J44" s="98">
        <v>13644</v>
      </c>
      <c r="K44" s="98">
        <v>12190</v>
      </c>
      <c r="L44" s="98">
        <v>11029</v>
      </c>
      <c r="M44" s="98">
        <v>11664</v>
      </c>
      <c r="N44" s="98">
        <v>10374</v>
      </c>
      <c r="O44" s="98">
        <v>9013</v>
      </c>
      <c r="P44" s="325">
        <v>8529</v>
      </c>
      <c r="Q44" s="325">
        <v>99998</v>
      </c>
      <c r="R44" s="325">
        <v>78674</v>
      </c>
      <c r="S44" s="325">
        <v>9919</v>
      </c>
      <c r="T44" s="325">
        <v>13120</v>
      </c>
      <c r="V44" s="97" t="s">
        <v>65</v>
      </c>
      <c r="W44" s="325">
        <v>14034</v>
      </c>
      <c r="X44" s="325">
        <f>+'[36]ISA(E)'!Y44</f>
        <v>10279</v>
      </c>
    </row>
    <row r="45" spans="2:24" ht="16" thickBot="1">
      <c r="B45" s="97" t="s">
        <v>66</v>
      </c>
      <c r="C45" s="98">
        <v>0</v>
      </c>
      <c r="D45" s="98">
        <v>44649</v>
      </c>
      <c r="E45" s="98">
        <v>44649</v>
      </c>
      <c r="F45" s="98">
        <v>44649</v>
      </c>
      <c r="G45" s="98">
        <v>44649</v>
      </c>
      <c r="H45" s="98">
        <v>24955</v>
      </c>
      <c r="I45" s="98">
        <v>25449</v>
      </c>
      <c r="J45" s="98">
        <v>23993</v>
      </c>
      <c r="K45" s="98">
        <v>28677</v>
      </c>
      <c r="L45" s="98">
        <v>1405</v>
      </c>
      <c r="M45" s="98">
        <v>8927</v>
      </c>
      <c r="N45" s="98">
        <v>16307</v>
      </c>
      <c r="O45" s="98">
        <v>21020</v>
      </c>
      <c r="P45" s="325">
        <v>1023</v>
      </c>
      <c r="Q45" s="325">
        <v>7045</v>
      </c>
      <c r="R45" s="325">
        <v>10985</v>
      </c>
      <c r="S45" s="325">
        <v>15579</v>
      </c>
      <c r="T45" s="325">
        <v>679</v>
      </c>
      <c r="V45" s="97" t="s">
        <v>66</v>
      </c>
      <c r="W45" s="325">
        <v>8269</v>
      </c>
      <c r="X45" s="325">
        <f>+'[36]ISA(E)'!Y45</f>
        <v>13568</v>
      </c>
    </row>
    <row r="46" spans="2:24" ht="30.5" thickBot="1">
      <c r="B46" s="97" t="s">
        <v>113</v>
      </c>
      <c r="C46" s="98">
        <v>8056601</v>
      </c>
      <c r="D46" s="98">
        <v>10216170</v>
      </c>
      <c r="E46" s="98">
        <v>9530390</v>
      </c>
      <c r="F46" s="98">
        <v>9461072</v>
      </c>
      <c r="G46" s="98">
        <v>9802592</v>
      </c>
      <c r="H46" s="98">
        <v>11013197</v>
      </c>
      <c r="I46" s="98">
        <v>10732696</v>
      </c>
      <c r="J46" s="98">
        <v>11183637</v>
      </c>
      <c r="K46" s="98">
        <v>11593893</v>
      </c>
      <c r="L46" s="98">
        <v>11224367</v>
      </c>
      <c r="M46" s="98">
        <v>11933040</v>
      </c>
      <c r="N46" s="98">
        <v>11150959</v>
      </c>
      <c r="O46" s="98">
        <v>11852674</v>
      </c>
      <c r="P46" s="325">
        <v>11435299</v>
      </c>
      <c r="Q46" s="325">
        <v>11743622</v>
      </c>
      <c r="R46" s="325">
        <v>12598674</v>
      </c>
      <c r="S46" s="325">
        <v>12219187</v>
      </c>
      <c r="T46" s="325">
        <v>12504610</v>
      </c>
      <c r="V46" s="97" t="s">
        <v>113</v>
      </c>
      <c r="W46" s="325">
        <v>12810091</v>
      </c>
      <c r="X46" s="325">
        <f>+'[36]ISA(E)'!Y46</f>
        <v>13322971</v>
      </c>
    </row>
    <row r="47" spans="2:24" ht="16" thickBot="1">
      <c r="B47" s="97" t="s">
        <v>114</v>
      </c>
      <c r="C47" s="98">
        <v>12528</v>
      </c>
      <c r="D47" s="98">
        <v>12528</v>
      </c>
      <c r="E47" s="98">
        <v>12528</v>
      </c>
      <c r="F47" s="98">
        <v>12524</v>
      </c>
      <c r="G47" s="98">
        <v>12524</v>
      </c>
      <c r="H47" s="98">
        <v>12524</v>
      </c>
      <c r="I47" s="98">
        <v>12524</v>
      </c>
      <c r="J47" s="98">
        <v>12524</v>
      </c>
      <c r="K47" s="98">
        <v>12524</v>
      </c>
      <c r="L47" s="98">
        <v>12524</v>
      </c>
      <c r="M47" s="98">
        <v>12524</v>
      </c>
      <c r="N47" s="98">
        <v>12524</v>
      </c>
      <c r="O47" s="98">
        <v>12524</v>
      </c>
      <c r="P47" s="325">
        <v>12524</v>
      </c>
      <c r="Q47" s="325">
        <v>12524</v>
      </c>
      <c r="R47" s="325">
        <v>12524</v>
      </c>
      <c r="S47" s="325">
        <v>12524</v>
      </c>
      <c r="T47" s="325">
        <v>12524</v>
      </c>
      <c r="V47" s="97" t="s">
        <v>114</v>
      </c>
      <c r="W47" s="325">
        <v>13795</v>
      </c>
      <c r="X47" s="325">
        <f>+'[36]ISA(E)'!Y47</f>
        <v>13953</v>
      </c>
    </row>
    <row r="48" spans="2:24" ht="16" thickBot="1">
      <c r="B48" s="97" t="s">
        <v>58</v>
      </c>
      <c r="C48" s="98">
        <v>6350</v>
      </c>
      <c r="D48" s="98">
        <v>13629</v>
      </c>
      <c r="E48" s="98">
        <v>14315</v>
      </c>
      <c r="F48" s="98">
        <v>15069</v>
      </c>
      <c r="G48" s="98">
        <v>16013</v>
      </c>
      <c r="H48" s="98">
        <v>15621</v>
      </c>
      <c r="I48" s="98">
        <v>16688</v>
      </c>
      <c r="J48" s="98">
        <v>16934</v>
      </c>
      <c r="K48" s="98">
        <v>17416</v>
      </c>
      <c r="L48" s="98">
        <v>17475</v>
      </c>
      <c r="M48" s="98">
        <v>17502</v>
      </c>
      <c r="N48" s="98">
        <v>17446</v>
      </c>
      <c r="O48" s="98">
        <v>18052</v>
      </c>
      <c r="P48" s="325">
        <v>18346</v>
      </c>
      <c r="Q48" s="325">
        <v>19342</v>
      </c>
      <c r="R48" s="325">
        <v>19218</v>
      </c>
      <c r="S48" s="325">
        <v>22110</v>
      </c>
      <c r="T48" s="325">
        <v>23116</v>
      </c>
      <c r="V48" s="97" t="s">
        <v>58</v>
      </c>
      <c r="W48" s="325">
        <v>21826</v>
      </c>
      <c r="X48" s="325">
        <f>+'[36]ISA(E)'!Y48</f>
        <v>22508</v>
      </c>
    </row>
    <row r="49" spans="2:24" ht="16" thickBot="1">
      <c r="B49" s="97" t="s">
        <v>69</v>
      </c>
      <c r="C49" s="98">
        <v>0</v>
      </c>
      <c r="D49" s="98">
        <v>0</v>
      </c>
      <c r="E49" s="98">
        <v>0</v>
      </c>
      <c r="F49" s="98">
        <v>0</v>
      </c>
      <c r="G49" s="98">
        <v>0</v>
      </c>
      <c r="H49" s="98">
        <v>0</v>
      </c>
      <c r="I49" s="98">
        <v>0</v>
      </c>
      <c r="J49" s="98">
        <v>0</v>
      </c>
      <c r="K49" s="98">
        <v>0</v>
      </c>
      <c r="L49" s="98">
        <v>0</v>
      </c>
      <c r="M49" s="98">
        <v>0</v>
      </c>
      <c r="N49" s="98">
        <v>0</v>
      </c>
      <c r="O49" s="98">
        <v>0</v>
      </c>
      <c r="P49" s="325">
        <v>0</v>
      </c>
      <c r="Q49" s="325">
        <v>0</v>
      </c>
      <c r="R49" s="325">
        <v>0</v>
      </c>
      <c r="S49" s="325">
        <v>0</v>
      </c>
      <c r="T49" s="325"/>
      <c r="V49" s="97" t="s">
        <v>69</v>
      </c>
      <c r="W49" s="325">
        <v>0</v>
      </c>
      <c r="X49" s="325">
        <f>+'[36]ISA(E)'!Y49</f>
        <v>0</v>
      </c>
    </row>
    <row r="50" spans="2:24" ht="16" thickBot="1">
      <c r="B50" s="97" t="s">
        <v>70</v>
      </c>
      <c r="C50" s="98">
        <v>5066863</v>
      </c>
      <c r="D50" s="98">
        <v>5683964</v>
      </c>
      <c r="E50" s="98">
        <v>5835660</v>
      </c>
      <c r="F50" s="98">
        <v>5930332</v>
      </c>
      <c r="G50" s="98">
        <v>6084789</v>
      </c>
      <c r="H50" s="98">
        <v>6211045</v>
      </c>
      <c r="I50" s="98">
        <v>6287331</v>
      </c>
      <c r="J50" s="98">
        <v>6374734</v>
      </c>
      <c r="K50" s="98">
        <v>6480169</v>
      </c>
      <c r="L50" s="98">
        <v>6667921</v>
      </c>
      <c r="M50" s="98">
        <v>6797606</v>
      </c>
      <c r="N50" s="98">
        <v>6876688</v>
      </c>
      <c r="O50" s="98">
        <v>6981007</v>
      </c>
      <c r="P50" s="325">
        <v>7171938</v>
      </c>
      <c r="Q50" s="325">
        <v>7226974</v>
      </c>
      <c r="R50" s="325">
        <v>7249023</v>
      </c>
      <c r="S50" s="325">
        <v>7303109</v>
      </c>
      <c r="T50" s="325">
        <v>7407001</v>
      </c>
      <c r="V50" s="97" t="s">
        <v>70</v>
      </c>
      <c r="W50" s="325">
        <v>7469551</v>
      </c>
      <c r="X50" s="325">
        <f>+'[36]ISA(E)'!Y50</f>
        <v>7564105</v>
      </c>
    </row>
    <row r="51" spans="2:24" ht="16" thickBot="1">
      <c r="B51" s="97" t="s">
        <v>71</v>
      </c>
      <c r="C51" s="98">
        <v>7803</v>
      </c>
      <c r="D51" s="98">
        <v>7720</v>
      </c>
      <c r="E51" s="98">
        <v>7699</v>
      </c>
      <c r="F51" s="98">
        <v>7678</v>
      </c>
      <c r="G51" s="98">
        <v>7658</v>
      </c>
      <c r="H51" s="98">
        <v>7936</v>
      </c>
      <c r="I51" s="98">
        <v>7914</v>
      </c>
      <c r="J51" s="98">
        <v>7892</v>
      </c>
      <c r="K51" s="98">
        <v>7870</v>
      </c>
      <c r="L51" s="98">
        <v>7848</v>
      </c>
      <c r="M51" s="98">
        <v>7826</v>
      </c>
      <c r="N51" s="98">
        <v>7804</v>
      </c>
      <c r="O51" s="98">
        <v>7783</v>
      </c>
      <c r="P51" s="325">
        <v>7761</v>
      </c>
      <c r="Q51" s="325">
        <v>7739</v>
      </c>
      <c r="R51" s="325">
        <v>7717</v>
      </c>
      <c r="S51" s="325">
        <v>7695</v>
      </c>
      <c r="T51" s="325">
        <v>7673</v>
      </c>
      <c r="V51" s="97" t="s">
        <v>71</v>
      </c>
      <c r="W51" s="325">
        <v>7651</v>
      </c>
      <c r="X51" s="325">
        <f>+'[36]ISA(E)'!Y51</f>
        <v>7630</v>
      </c>
    </row>
    <row r="52" spans="2:24" ht="16" thickBot="1">
      <c r="B52" s="97" t="s">
        <v>73</v>
      </c>
      <c r="C52" s="98">
        <v>100716</v>
      </c>
      <c r="D52" s="98">
        <v>102263</v>
      </c>
      <c r="E52" s="98">
        <v>103689</v>
      </c>
      <c r="F52" s="98">
        <v>131067</v>
      </c>
      <c r="G52" s="98">
        <v>132314</v>
      </c>
      <c r="H52" s="98">
        <v>122692</v>
      </c>
      <c r="I52" s="98">
        <v>122010</v>
      </c>
      <c r="J52" s="98">
        <v>139118</v>
      </c>
      <c r="K52" s="98">
        <v>141132</v>
      </c>
      <c r="L52" s="98">
        <v>157983</v>
      </c>
      <c r="M52" s="98">
        <v>157003</v>
      </c>
      <c r="N52" s="98">
        <v>157771</v>
      </c>
      <c r="O52" s="98">
        <v>124695</v>
      </c>
      <c r="P52" s="325">
        <v>156725</v>
      </c>
      <c r="Q52" s="325">
        <v>155939</v>
      </c>
      <c r="R52" s="325">
        <v>209543</v>
      </c>
      <c r="S52" s="325">
        <v>210760</v>
      </c>
      <c r="T52" s="325">
        <v>212532</v>
      </c>
      <c r="V52" s="97" t="s">
        <v>73</v>
      </c>
      <c r="W52" s="325">
        <v>173347</v>
      </c>
      <c r="X52" s="325">
        <f>+'[36]ISA(E)'!Y52</f>
        <v>212904</v>
      </c>
    </row>
    <row r="53" spans="2:24" ht="16" thickBot="1">
      <c r="B53" s="97" t="s">
        <v>61</v>
      </c>
      <c r="C53" s="98">
        <v>1300</v>
      </c>
      <c r="D53" s="98">
        <v>1200</v>
      </c>
      <c r="E53" s="98">
        <v>1175</v>
      </c>
      <c r="F53" s="98">
        <v>1150</v>
      </c>
      <c r="G53" s="98">
        <v>1125</v>
      </c>
      <c r="H53" s="98">
        <v>1100</v>
      </c>
      <c r="I53" s="98">
        <v>1075</v>
      </c>
      <c r="J53" s="98">
        <v>1050</v>
      </c>
      <c r="K53" s="98">
        <v>1025</v>
      </c>
      <c r="L53" s="98">
        <v>1000</v>
      </c>
      <c r="M53" s="98">
        <v>975</v>
      </c>
      <c r="N53" s="98">
        <v>950</v>
      </c>
      <c r="O53" s="98">
        <v>925</v>
      </c>
      <c r="P53" s="325">
        <v>900</v>
      </c>
      <c r="Q53" s="325">
        <v>875</v>
      </c>
      <c r="R53" s="325">
        <v>850</v>
      </c>
      <c r="S53" s="325">
        <v>825</v>
      </c>
      <c r="T53" s="325">
        <v>800</v>
      </c>
      <c r="V53" s="97" t="s">
        <v>61</v>
      </c>
      <c r="W53" s="325">
        <v>775</v>
      </c>
      <c r="X53" s="325">
        <f>+'[36]ISA(E)'!Y53</f>
        <v>750</v>
      </c>
    </row>
    <row r="54" spans="2:24" ht="16" thickBot="1">
      <c r="B54" s="97" t="s">
        <v>74</v>
      </c>
      <c r="C54" s="98">
        <v>0</v>
      </c>
      <c r="D54" s="98">
        <v>0</v>
      </c>
      <c r="E54" s="98">
        <v>0</v>
      </c>
      <c r="F54" s="98">
        <v>0</v>
      </c>
      <c r="G54" s="98">
        <v>0</v>
      </c>
      <c r="H54" s="98">
        <v>0</v>
      </c>
      <c r="I54" s="98">
        <v>0</v>
      </c>
      <c r="J54" s="98">
        <v>0</v>
      </c>
      <c r="K54" s="98">
        <v>0</v>
      </c>
      <c r="L54" s="98">
        <v>0</v>
      </c>
      <c r="M54" s="98">
        <v>0</v>
      </c>
      <c r="N54" s="98">
        <v>0</v>
      </c>
      <c r="O54" s="98">
        <v>0</v>
      </c>
      <c r="P54" s="325">
        <v>0</v>
      </c>
      <c r="Q54" s="325">
        <v>0</v>
      </c>
      <c r="R54" s="325">
        <v>0</v>
      </c>
      <c r="S54" s="325">
        <v>0</v>
      </c>
      <c r="T54" s="325"/>
      <c r="V54" s="97" t="s">
        <v>74</v>
      </c>
      <c r="W54" s="325">
        <v>0</v>
      </c>
      <c r="X54" s="325">
        <f>+'[36]ISA(E)'!Y54</f>
        <v>0</v>
      </c>
    </row>
    <row r="55" spans="2:24" ht="16" thickBot="1">
      <c r="B55" s="97" t="s">
        <v>75</v>
      </c>
      <c r="C55" s="98">
        <v>0</v>
      </c>
      <c r="D55" s="98">
        <v>0</v>
      </c>
      <c r="E55" s="98">
        <v>0</v>
      </c>
      <c r="F55" s="98">
        <v>0</v>
      </c>
      <c r="G55" s="98">
        <v>0</v>
      </c>
      <c r="H55" s="98">
        <v>0</v>
      </c>
      <c r="I55" s="98">
        <v>6549</v>
      </c>
      <c r="J55" s="98">
        <v>7219</v>
      </c>
      <c r="K55" s="98">
        <v>6909</v>
      </c>
      <c r="L55" s="98">
        <v>0</v>
      </c>
      <c r="M55" s="98">
        <v>0</v>
      </c>
      <c r="N55" s="98">
        <v>0</v>
      </c>
      <c r="O55" s="98">
        <v>21615</v>
      </c>
      <c r="P55" s="325">
        <v>14945</v>
      </c>
      <c r="Q55" s="325">
        <v>14227</v>
      </c>
      <c r="R55" s="325">
        <v>0</v>
      </c>
      <c r="S55" s="325">
        <v>0</v>
      </c>
      <c r="T55" s="325"/>
      <c r="V55" s="97" t="s">
        <v>75</v>
      </c>
      <c r="W55" s="325">
        <v>0</v>
      </c>
      <c r="X55" s="325">
        <f>+'[36]ISA(E)'!Y55</f>
        <v>0</v>
      </c>
    </row>
    <row r="56" spans="2:24" ht="16" thickBot="1">
      <c r="B56" s="97" t="s">
        <v>62</v>
      </c>
      <c r="C56" s="98">
        <v>209449</v>
      </c>
      <c r="D56" s="98">
        <v>195628</v>
      </c>
      <c r="E56" s="98">
        <v>182285</v>
      </c>
      <c r="F56" s="98">
        <v>190722</v>
      </c>
      <c r="G56" s="98">
        <v>135199</v>
      </c>
      <c r="H56" s="98">
        <v>147825</v>
      </c>
      <c r="I56" s="98">
        <v>103365</v>
      </c>
      <c r="J56" s="98">
        <v>104370</v>
      </c>
      <c r="K56" s="98">
        <v>101523</v>
      </c>
      <c r="L56" s="98">
        <v>96102</v>
      </c>
      <c r="M56" s="98">
        <v>313227</v>
      </c>
      <c r="N56" s="98">
        <v>289657</v>
      </c>
      <c r="O56" s="98">
        <v>298904</v>
      </c>
      <c r="P56" s="325">
        <v>187208</v>
      </c>
      <c r="Q56" s="325">
        <v>212146</v>
      </c>
      <c r="R56" s="325">
        <v>0</v>
      </c>
      <c r="S56" s="325">
        <v>0</v>
      </c>
      <c r="T56" s="325">
        <v>0</v>
      </c>
      <c r="V56" s="97" t="s">
        <v>62</v>
      </c>
      <c r="W56" s="325">
        <v>0</v>
      </c>
      <c r="X56" s="325">
        <f>+'[36]ISA(E)'!Y56</f>
        <v>0</v>
      </c>
    </row>
    <row r="57" spans="2:24" ht="16" thickBot="1">
      <c r="B57" s="95" t="s">
        <v>77</v>
      </c>
      <c r="C57" s="101">
        <v>13481908</v>
      </c>
      <c r="D57" s="101">
        <v>16294652</v>
      </c>
      <c r="E57" s="101">
        <v>15746092</v>
      </c>
      <c r="F57" s="101">
        <v>15806824</v>
      </c>
      <c r="G57" s="101">
        <v>16247236</v>
      </c>
      <c r="H57" s="101">
        <v>17567356</v>
      </c>
      <c r="I57" s="102">
        <f>SUM(I44:I56)</f>
        <v>17328242</v>
      </c>
      <c r="J57" s="102">
        <f>SUM(J44:J56)</f>
        <v>17885115</v>
      </c>
      <c r="K57" s="102">
        <f>SUM(K44:K56)</f>
        <v>18403328</v>
      </c>
      <c r="L57" s="101">
        <v>18197654</v>
      </c>
      <c r="M57" s="101">
        <v>19260294</v>
      </c>
      <c r="N57" s="101">
        <v>18540480</v>
      </c>
      <c r="O57" s="101">
        <v>19348212</v>
      </c>
      <c r="P57" s="328">
        <f t="shared" ref="P57" si="8">SUM(P44:P56)</f>
        <v>19015198</v>
      </c>
      <c r="Q57" s="328">
        <f t="shared" ref="Q57" si="9">SUM(Q44:Q56)</f>
        <v>19500431</v>
      </c>
      <c r="R57" s="328">
        <v>20187208</v>
      </c>
      <c r="S57" s="328">
        <f t="shared" ref="S57" si="10">SUM(S44:S56)</f>
        <v>19801708</v>
      </c>
      <c r="T57" s="328">
        <f t="shared" ref="T57" si="11">SUM(T44:T56)</f>
        <v>20182055</v>
      </c>
      <c r="V57" s="95" t="s">
        <v>77</v>
      </c>
      <c r="W57" s="328">
        <v>20519339</v>
      </c>
      <c r="X57" s="328">
        <f>+'[36]ISA(E)'!Y57</f>
        <v>21168668</v>
      </c>
    </row>
    <row r="58" spans="2:24" ht="16" thickBot="1">
      <c r="B58" s="103" t="s">
        <v>78</v>
      </c>
      <c r="C58" s="104">
        <v>13840632</v>
      </c>
      <c r="D58" s="104">
        <v>16726509</v>
      </c>
      <c r="E58" s="104">
        <v>16413849</v>
      </c>
      <c r="F58" s="104">
        <v>16406975</v>
      </c>
      <c r="G58" s="104">
        <v>16994557</v>
      </c>
      <c r="H58" s="104">
        <v>18104123</v>
      </c>
      <c r="I58" s="105">
        <f>+I57+I42</f>
        <v>18378718</v>
      </c>
      <c r="J58" s="105">
        <f>+J57+J42</f>
        <v>18741234</v>
      </c>
      <c r="K58" s="105">
        <f>+K57+K42</f>
        <v>19014585</v>
      </c>
      <c r="L58" s="104">
        <v>18909931</v>
      </c>
      <c r="M58" s="104">
        <v>20007112</v>
      </c>
      <c r="N58" s="104">
        <v>19833751</v>
      </c>
      <c r="O58" s="104">
        <v>20634179</v>
      </c>
      <c r="P58" s="329">
        <f t="shared" ref="P58:Q58" si="12">+P42+P57</f>
        <v>19803064</v>
      </c>
      <c r="Q58" s="329">
        <f t="shared" si="12"/>
        <v>20856526</v>
      </c>
      <c r="R58" s="329">
        <v>22005764</v>
      </c>
      <c r="S58" s="329">
        <f t="shared" ref="S58:T58" si="13">+S42+S57</f>
        <v>21283932</v>
      </c>
      <c r="T58" s="329">
        <f t="shared" si="13"/>
        <v>21093568</v>
      </c>
      <c r="V58" s="103" t="s">
        <v>78</v>
      </c>
      <c r="W58" s="329">
        <v>21846463</v>
      </c>
      <c r="X58" s="329">
        <f>+'[36]ISA(E)'!Y58</f>
        <v>22544603</v>
      </c>
    </row>
    <row r="59" spans="2:24" ht="15.5" thickBot="1">
      <c r="B59" s="106"/>
      <c r="C59" s="107"/>
      <c r="D59" s="107"/>
      <c r="E59" s="107"/>
      <c r="F59" s="107"/>
      <c r="G59" s="107"/>
      <c r="H59" s="107"/>
      <c r="I59" s="107"/>
      <c r="J59" s="107"/>
      <c r="K59" s="107"/>
      <c r="L59" s="107"/>
      <c r="M59" s="107"/>
      <c r="N59" s="107"/>
      <c r="O59" s="107"/>
      <c r="P59" s="333"/>
      <c r="S59" s="360"/>
      <c r="T59" s="360"/>
      <c r="V59" s="106"/>
      <c r="W59" s="360">
        <v>0</v>
      </c>
      <c r="X59" s="360">
        <f>+'[36]ISA(E)'!Y59</f>
        <v>0</v>
      </c>
    </row>
    <row r="60" spans="2:24" ht="15.5" thickBot="1">
      <c r="B60" s="93" t="s">
        <v>79</v>
      </c>
      <c r="C60" s="108"/>
      <c r="D60" s="108"/>
      <c r="E60" s="108"/>
      <c r="F60" s="108"/>
      <c r="G60" s="108"/>
      <c r="H60" s="108"/>
      <c r="I60" s="108"/>
      <c r="J60" s="108"/>
      <c r="K60" s="108"/>
      <c r="L60" s="108"/>
      <c r="M60" s="108"/>
      <c r="N60" s="108"/>
      <c r="O60" s="108"/>
      <c r="P60" s="330"/>
      <c r="Q60" s="357"/>
      <c r="R60" s="357"/>
      <c r="S60" s="357"/>
      <c r="T60" s="357"/>
      <c r="V60" s="355" t="s">
        <v>79</v>
      </c>
      <c r="W60" s="357"/>
      <c r="X60" s="357"/>
    </row>
    <row r="61" spans="2:24" ht="15.5" thickBot="1">
      <c r="B61" s="95" t="s">
        <v>80</v>
      </c>
      <c r="C61" s="109"/>
      <c r="D61" s="109"/>
      <c r="E61" s="109"/>
      <c r="F61" s="109"/>
      <c r="G61" s="109"/>
      <c r="H61" s="109"/>
      <c r="I61" s="109"/>
      <c r="J61" s="109"/>
      <c r="K61" s="109"/>
      <c r="L61" s="109"/>
      <c r="M61" s="109"/>
      <c r="N61" s="109"/>
      <c r="O61" s="109"/>
      <c r="P61" s="331"/>
      <c r="Q61" s="358"/>
      <c r="R61" s="358"/>
      <c r="S61" s="358"/>
      <c r="T61" s="358"/>
      <c r="V61" s="95" t="s">
        <v>80</v>
      </c>
      <c r="W61" s="358"/>
      <c r="X61" s="358"/>
    </row>
    <row r="62" spans="2:24" ht="16" thickBot="1">
      <c r="B62" s="97" t="s">
        <v>81</v>
      </c>
      <c r="C62" s="98">
        <v>146843</v>
      </c>
      <c r="D62" s="98">
        <v>113155</v>
      </c>
      <c r="E62" s="98">
        <v>151747</v>
      </c>
      <c r="F62" s="98">
        <v>130979</v>
      </c>
      <c r="G62" s="98">
        <v>151971</v>
      </c>
      <c r="H62" s="98">
        <v>137339</v>
      </c>
      <c r="I62" s="98">
        <v>152898</v>
      </c>
      <c r="J62" s="98">
        <v>169407</v>
      </c>
      <c r="K62" s="98">
        <v>189054</v>
      </c>
      <c r="L62" s="98">
        <v>214786</v>
      </c>
      <c r="M62" s="98">
        <v>232772</v>
      </c>
      <c r="N62" s="98">
        <v>207416</v>
      </c>
      <c r="O62" s="98">
        <v>219519</v>
      </c>
      <c r="P62" s="325">
        <v>151393</v>
      </c>
      <c r="Q62" s="325">
        <v>165505</v>
      </c>
      <c r="R62" s="325">
        <v>276306</v>
      </c>
      <c r="S62" s="325">
        <v>285445</v>
      </c>
      <c r="T62" s="325">
        <v>158139</v>
      </c>
      <c r="V62" s="97" t="s">
        <v>81</v>
      </c>
      <c r="W62" s="325">
        <v>191195</v>
      </c>
      <c r="X62" s="325">
        <f>+'[36]ISA(E)'!Y62</f>
        <v>63954</v>
      </c>
    </row>
    <row r="63" spans="2:24" ht="16" thickBot="1">
      <c r="B63" s="97" t="s">
        <v>82</v>
      </c>
      <c r="C63" s="98">
        <v>70525</v>
      </c>
      <c r="D63" s="98">
        <v>120476</v>
      </c>
      <c r="E63" s="98">
        <v>702081</v>
      </c>
      <c r="F63" s="98">
        <v>669247</v>
      </c>
      <c r="G63" s="98">
        <v>365951</v>
      </c>
      <c r="H63" s="98">
        <v>90486</v>
      </c>
      <c r="I63" s="98">
        <v>672446</v>
      </c>
      <c r="J63" s="98">
        <v>722891</v>
      </c>
      <c r="K63" s="98">
        <v>363131</v>
      </c>
      <c r="L63" s="98">
        <v>110314</v>
      </c>
      <c r="M63" s="98">
        <v>836712</v>
      </c>
      <c r="N63" s="98">
        <v>796245</v>
      </c>
      <c r="O63" s="98">
        <v>441251</v>
      </c>
      <c r="P63" s="325">
        <v>111643</v>
      </c>
      <c r="Q63" s="325">
        <v>1509526</v>
      </c>
      <c r="R63" s="325">
        <v>1527771</v>
      </c>
      <c r="S63" s="325">
        <f>796294+1</f>
        <v>796295</v>
      </c>
      <c r="T63" s="325">
        <v>183100</v>
      </c>
      <c r="V63" s="97" t="s">
        <v>82</v>
      </c>
      <c r="W63" s="325">
        <v>991493</v>
      </c>
      <c r="X63" s="325">
        <f>+'[36]ISA(E)'!Y63</f>
        <v>983023</v>
      </c>
    </row>
    <row r="64" spans="2:24" ht="16" thickBot="1">
      <c r="B64" s="97" t="s">
        <v>84</v>
      </c>
      <c r="C64" s="98">
        <v>7387</v>
      </c>
      <c r="D64" s="98">
        <v>10159</v>
      </c>
      <c r="E64" s="98">
        <v>6589</v>
      </c>
      <c r="F64" s="98">
        <v>6947</v>
      </c>
      <c r="G64" s="98">
        <v>9175</v>
      </c>
      <c r="H64" s="98">
        <v>8405</v>
      </c>
      <c r="I64" s="98">
        <v>8346</v>
      </c>
      <c r="J64" s="98">
        <v>7357</v>
      </c>
      <c r="K64" s="98">
        <v>10434</v>
      </c>
      <c r="L64" s="98">
        <v>11689</v>
      </c>
      <c r="M64" s="98">
        <v>10529</v>
      </c>
      <c r="N64" s="98">
        <v>9821</v>
      </c>
      <c r="O64" s="98">
        <v>13886</v>
      </c>
      <c r="P64" s="325">
        <v>14041</v>
      </c>
      <c r="Q64" s="325">
        <v>12995</v>
      </c>
      <c r="R64" s="325">
        <v>11491</v>
      </c>
      <c r="S64" s="325">
        <v>13879</v>
      </c>
      <c r="T64" s="325">
        <v>13051</v>
      </c>
      <c r="V64" s="97" t="s">
        <v>84</v>
      </c>
      <c r="W64" s="325">
        <v>11752</v>
      </c>
      <c r="X64" s="325">
        <f>+'[36]ISA(E)'!Y64</f>
        <v>10083</v>
      </c>
    </row>
    <row r="65" spans="2:24" ht="16" thickBot="1">
      <c r="B65" s="97" t="s">
        <v>59</v>
      </c>
      <c r="C65" s="98">
        <v>6977</v>
      </c>
      <c r="D65" s="98">
        <v>10271</v>
      </c>
      <c r="E65" s="98">
        <v>35229</v>
      </c>
      <c r="F65" s="98">
        <v>76011</v>
      </c>
      <c r="G65" s="98">
        <v>106833</v>
      </c>
      <c r="H65" s="98">
        <v>12548</v>
      </c>
      <c r="I65" s="98">
        <v>47609</v>
      </c>
      <c r="J65" s="98">
        <v>86618</v>
      </c>
      <c r="K65" s="98">
        <v>124779</v>
      </c>
      <c r="L65" s="98">
        <v>38109</v>
      </c>
      <c r="M65" s="98">
        <v>55911</v>
      </c>
      <c r="N65" s="98">
        <v>88659</v>
      </c>
      <c r="O65" s="98">
        <v>126399</v>
      </c>
      <c r="P65" s="325">
        <v>62985</v>
      </c>
      <c r="Q65" s="325">
        <v>113697</v>
      </c>
      <c r="R65" s="325">
        <v>125691</v>
      </c>
      <c r="S65" s="325">
        <v>183000</v>
      </c>
      <c r="T65" s="325">
        <v>60838</v>
      </c>
      <c r="V65" s="97" t="s">
        <v>59</v>
      </c>
      <c r="W65" s="325">
        <v>84779</v>
      </c>
      <c r="X65" s="325">
        <f>+'[36]ISA(E)'!Y65</f>
        <v>102113</v>
      </c>
    </row>
    <row r="66" spans="2:24" ht="16" thickBot="1">
      <c r="B66" s="97" t="s">
        <v>85</v>
      </c>
      <c r="C66" s="98">
        <v>25927</v>
      </c>
      <c r="D66" s="98">
        <v>38287</v>
      </c>
      <c r="E66" s="98">
        <v>15913</v>
      </c>
      <c r="F66" s="98">
        <v>18847</v>
      </c>
      <c r="G66" s="98">
        <v>20242</v>
      </c>
      <c r="H66" s="98">
        <v>437</v>
      </c>
      <c r="I66" s="98">
        <v>6565</v>
      </c>
      <c r="J66" s="98">
        <v>5549</v>
      </c>
      <c r="K66" s="98">
        <v>8772</v>
      </c>
      <c r="L66" s="98">
        <v>1715</v>
      </c>
      <c r="M66" s="98">
        <v>0</v>
      </c>
      <c r="N66" s="98">
        <v>0</v>
      </c>
      <c r="O66" s="98">
        <v>0</v>
      </c>
      <c r="P66" s="325">
        <v>0</v>
      </c>
      <c r="Q66" s="325">
        <v>0</v>
      </c>
      <c r="R66" s="325">
        <v>0</v>
      </c>
      <c r="S66" s="325">
        <v>0</v>
      </c>
      <c r="T66" s="325">
        <v>1004</v>
      </c>
      <c r="V66" s="97" t="s">
        <v>85</v>
      </c>
      <c r="W66" s="325">
        <v>1016</v>
      </c>
      <c r="X66" s="325">
        <f>+'[36]ISA(E)'!Y66</f>
        <v>1009</v>
      </c>
    </row>
    <row r="67" spans="2:24" ht="16" thickBot="1">
      <c r="B67" s="97" t="s">
        <v>86</v>
      </c>
      <c r="C67" s="98">
        <v>4115</v>
      </c>
      <c r="D67" s="98">
        <v>4040</v>
      </c>
      <c r="E67" s="98">
        <v>3680</v>
      </c>
      <c r="F67" s="98">
        <v>3626</v>
      </c>
      <c r="G67" s="98">
        <v>4581</v>
      </c>
      <c r="H67" s="98">
        <v>4025</v>
      </c>
      <c r="I67" s="98">
        <v>3877</v>
      </c>
      <c r="J67" s="98">
        <v>4607</v>
      </c>
      <c r="K67" s="98">
        <v>3716</v>
      </c>
      <c r="L67" s="98">
        <v>3798</v>
      </c>
      <c r="M67" s="98">
        <v>3979</v>
      </c>
      <c r="N67" s="98">
        <v>3511</v>
      </c>
      <c r="O67" s="98">
        <v>4355</v>
      </c>
      <c r="P67" s="325">
        <v>3570</v>
      </c>
      <c r="Q67" s="325">
        <v>3809</v>
      </c>
      <c r="R67" s="325">
        <v>4142</v>
      </c>
      <c r="S67" s="325">
        <v>2931</v>
      </c>
      <c r="T67" s="325">
        <v>4582</v>
      </c>
      <c r="V67" s="97" t="s">
        <v>86</v>
      </c>
      <c r="W67" s="325">
        <v>5564</v>
      </c>
      <c r="X67" s="325">
        <f>+'[36]ISA(E)'!Y67</f>
        <v>2890</v>
      </c>
    </row>
    <row r="68" spans="2:24" ht="16" thickBot="1">
      <c r="B68" s="97" t="s">
        <v>115</v>
      </c>
      <c r="C68" s="110">
        <v>0</v>
      </c>
      <c r="D68" s="110">
        <v>0</v>
      </c>
      <c r="E68" s="110">
        <v>219</v>
      </c>
      <c r="F68" s="110">
        <v>0</v>
      </c>
      <c r="G68" s="110">
        <v>0</v>
      </c>
      <c r="H68" s="110">
        <v>0</v>
      </c>
      <c r="I68" s="110">
        <v>0</v>
      </c>
      <c r="J68" s="110">
        <v>0</v>
      </c>
      <c r="K68" s="110">
        <v>0</v>
      </c>
      <c r="L68" s="110">
        <v>0</v>
      </c>
      <c r="M68" s="110">
        <v>0</v>
      </c>
      <c r="N68" s="110">
        <v>0</v>
      </c>
      <c r="O68" s="98"/>
      <c r="P68" s="336">
        <v>0</v>
      </c>
      <c r="Q68" s="336"/>
      <c r="R68" s="336">
        <v>0</v>
      </c>
      <c r="S68" s="336"/>
      <c r="T68" s="336"/>
      <c r="V68" s="97" t="s">
        <v>115</v>
      </c>
      <c r="W68" s="336">
        <v>0</v>
      </c>
      <c r="X68" s="336">
        <f>+'[36]ISA(E)'!Y68</f>
        <v>0</v>
      </c>
    </row>
    <row r="69" spans="2:24" ht="15.5" thickBot="1">
      <c r="B69" s="95" t="s">
        <v>88</v>
      </c>
      <c r="C69" s="101">
        <v>261774</v>
      </c>
      <c r="D69" s="101">
        <v>296388</v>
      </c>
      <c r="E69" s="101">
        <v>915458</v>
      </c>
      <c r="F69" s="101">
        <v>905657</v>
      </c>
      <c r="G69" s="101">
        <v>658753</v>
      </c>
      <c r="H69" s="101">
        <v>253240</v>
      </c>
      <c r="I69" s="101">
        <v>891741</v>
      </c>
      <c r="J69" s="101">
        <v>996429</v>
      </c>
      <c r="K69" s="101">
        <v>699886</v>
      </c>
      <c r="L69" s="101">
        <v>380411</v>
      </c>
      <c r="M69" s="101">
        <v>1139903</v>
      </c>
      <c r="N69" s="101">
        <v>1105652</v>
      </c>
      <c r="O69" s="101">
        <v>805410</v>
      </c>
      <c r="P69" s="328">
        <f t="shared" ref="P69" si="14">SUM(P62:P68)</f>
        <v>343632</v>
      </c>
      <c r="Q69" s="328">
        <f t="shared" ref="Q69" si="15">SUM(Q62:Q68)</f>
        <v>1805532</v>
      </c>
      <c r="R69" s="328">
        <v>1945401</v>
      </c>
      <c r="S69" s="328">
        <f t="shared" ref="S69" si="16">SUM(S62:S68)</f>
        <v>1281550</v>
      </c>
      <c r="T69" s="328">
        <f t="shared" ref="T69" si="17">SUM(T62:T68)</f>
        <v>420714</v>
      </c>
      <c r="V69" s="95" t="s">
        <v>88</v>
      </c>
      <c r="W69" s="328">
        <v>1285799</v>
      </c>
      <c r="X69" s="328">
        <f>+'[36]ISA(E)'!Y69</f>
        <v>1163072</v>
      </c>
    </row>
    <row r="70" spans="2:24" ht="15.5" thickBot="1">
      <c r="B70" s="111" t="s">
        <v>89</v>
      </c>
      <c r="C70" s="112"/>
      <c r="D70" s="112"/>
      <c r="E70" s="112"/>
      <c r="F70" s="112"/>
      <c r="G70" s="112"/>
      <c r="H70" s="112"/>
      <c r="I70" s="112"/>
      <c r="J70" s="112"/>
      <c r="K70" s="112"/>
      <c r="L70" s="112"/>
      <c r="M70" s="112"/>
      <c r="N70" s="112"/>
      <c r="O70" s="112"/>
      <c r="P70" s="332"/>
      <c r="Q70" s="359"/>
      <c r="R70" s="359"/>
      <c r="S70" s="359"/>
      <c r="T70" s="359"/>
      <c r="V70" s="111" t="s">
        <v>89</v>
      </c>
      <c r="W70" s="359"/>
      <c r="X70" s="359"/>
    </row>
    <row r="71" spans="2:24" ht="16" thickBot="1">
      <c r="B71" s="97" t="s">
        <v>81</v>
      </c>
      <c r="C71" s="98">
        <v>2084431</v>
      </c>
      <c r="D71" s="98">
        <v>3814421</v>
      </c>
      <c r="E71" s="98">
        <v>3767433</v>
      </c>
      <c r="F71" s="98">
        <v>3767688</v>
      </c>
      <c r="G71" s="98">
        <v>4220042</v>
      </c>
      <c r="H71" s="98">
        <v>4382795</v>
      </c>
      <c r="I71" s="98">
        <v>4490811</v>
      </c>
      <c r="J71" s="98">
        <v>4239362</v>
      </c>
      <c r="K71" s="98">
        <v>4217812</v>
      </c>
      <c r="L71" s="98">
        <v>4461883</v>
      </c>
      <c r="M71" s="98">
        <v>4495967</v>
      </c>
      <c r="N71" s="98">
        <v>4727877</v>
      </c>
      <c r="O71" s="98">
        <v>4992611</v>
      </c>
      <c r="P71" s="325">
        <v>4670715</v>
      </c>
      <c r="Q71" s="325">
        <v>4655386</v>
      </c>
      <c r="R71" s="325">
        <v>4522584</v>
      </c>
      <c r="S71" s="325">
        <v>4506824</v>
      </c>
      <c r="T71" s="325">
        <v>4620915</v>
      </c>
      <c r="V71" s="97" t="s">
        <v>81</v>
      </c>
      <c r="W71" s="325">
        <v>4549201</v>
      </c>
      <c r="X71" s="325">
        <f>+'[36]ISA(E)'!Y71</f>
        <v>4679704</v>
      </c>
    </row>
    <row r="72" spans="2:24" ht="16" thickBot="1">
      <c r="B72" s="97" t="s">
        <v>82</v>
      </c>
      <c r="C72" s="98">
        <v>4568</v>
      </c>
      <c r="D72" s="98">
        <v>8099</v>
      </c>
      <c r="E72" s="98">
        <v>3006</v>
      </c>
      <c r="F72" s="98">
        <v>3011</v>
      </c>
      <c r="G72" s="98">
        <v>5901</v>
      </c>
      <c r="H72" s="98">
        <v>5465</v>
      </c>
      <c r="I72" s="98">
        <v>5398</v>
      </c>
      <c r="J72" s="98">
        <v>5995</v>
      </c>
      <c r="K72" s="98">
        <v>5744</v>
      </c>
      <c r="L72" s="98">
        <v>12490</v>
      </c>
      <c r="M72" s="98">
        <v>12244</v>
      </c>
      <c r="N72" s="98">
        <v>11939</v>
      </c>
      <c r="O72" s="98">
        <v>15120</v>
      </c>
      <c r="P72" s="325">
        <v>13377</v>
      </c>
      <c r="Q72" s="325">
        <v>13247</v>
      </c>
      <c r="R72" s="325">
        <v>13716</v>
      </c>
      <c r="S72" s="325">
        <v>12055</v>
      </c>
      <c r="T72" s="325">
        <v>9618</v>
      </c>
      <c r="V72" s="97" t="s">
        <v>82</v>
      </c>
      <c r="W72" s="325">
        <v>262005</v>
      </c>
      <c r="X72" s="325">
        <f>+'[36]ISA(E)'!Y72</f>
        <v>264364</v>
      </c>
    </row>
    <row r="73" spans="2:24" ht="16" thickBot="1">
      <c r="B73" s="97" t="s">
        <v>90</v>
      </c>
      <c r="C73" s="98">
        <v>288768</v>
      </c>
      <c r="D73" s="98">
        <v>300346</v>
      </c>
      <c r="E73" s="98">
        <v>303034</v>
      </c>
      <c r="F73" s="98">
        <v>305600</v>
      </c>
      <c r="G73" s="98">
        <v>308142</v>
      </c>
      <c r="H73" s="98">
        <v>310675</v>
      </c>
      <c r="I73" s="98">
        <v>313280</v>
      </c>
      <c r="J73" s="98">
        <v>315901</v>
      </c>
      <c r="K73" s="98">
        <v>318585</v>
      </c>
      <c r="L73" s="98">
        <v>321299</v>
      </c>
      <c r="M73" s="98">
        <v>324046</v>
      </c>
      <c r="N73" s="98">
        <v>326525</v>
      </c>
      <c r="O73" s="98">
        <v>328253</v>
      </c>
      <c r="P73" s="325">
        <v>329546</v>
      </c>
      <c r="Q73" s="325">
        <v>330971</v>
      </c>
      <c r="R73" s="325">
        <v>332440</v>
      </c>
      <c r="S73" s="325">
        <v>334002</v>
      </c>
      <c r="T73" s="325">
        <v>251182</v>
      </c>
      <c r="V73" s="97" t="s">
        <v>90</v>
      </c>
      <c r="W73" s="325">
        <v>0</v>
      </c>
      <c r="X73" s="325">
        <f>+'[36]ISA(E)'!Y73</f>
        <v>0</v>
      </c>
    </row>
    <row r="74" spans="2:24" ht="16" thickBot="1">
      <c r="B74" s="97" t="s">
        <v>84</v>
      </c>
      <c r="C74" s="98">
        <v>211351</v>
      </c>
      <c r="D74" s="98">
        <v>223294</v>
      </c>
      <c r="E74" s="98">
        <v>229287</v>
      </c>
      <c r="F74" s="98">
        <v>231466</v>
      </c>
      <c r="G74" s="98">
        <v>235552</v>
      </c>
      <c r="H74" s="98">
        <v>226206</v>
      </c>
      <c r="I74" s="98">
        <v>230478</v>
      </c>
      <c r="J74" s="98">
        <v>234750</v>
      </c>
      <c r="K74" s="98">
        <v>239009</v>
      </c>
      <c r="L74" s="98">
        <v>234046</v>
      </c>
      <c r="M74" s="98">
        <v>237351</v>
      </c>
      <c r="N74" s="98">
        <v>239143</v>
      </c>
      <c r="O74" s="98">
        <v>241163</v>
      </c>
      <c r="P74" s="325">
        <v>241713</v>
      </c>
      <c r="Q74" s="325">
        <v>242734</v>
      </c>
      <c r="R74" s="325">
        <v>242824</v>
      </c>
      <c r="S74" s="325">
        <v>243374</v>
      </c>
      <c r="T74" s="325">
        <v>201185</v>
      </c>
      <c r="V74" s="97" t="s">
        <v>84</v>
      </c>
      <c r="W74" s="325">
        <v>202135</v>
      </c>
      <c r="X74" s="325">
        <f>+'[36]ISA(E)'!Y74</f>
        <v>201969</v>
      </c>
    </row>
    <row r="75" spans="2:24" ht="16" thickBot="1">
      <c r="B75" s="97" t="s">
        <v>85</v>
      </c>
      <c r="C75" s="98">
        <v>1549</v>
      </c>
      <c r="D75" s="98">
        <v>7026</v>
      </c>
      <c r="E75" s="98">
        <v>7019</v>
      </c>
      <c r="F75" s="98">
        <v>6925</v>
      </c>
      <c r="G75" s="98">
        <v>6850</v>
      </c>
      <c r="H75" s="98">
        <v>11054</v>
      </c>
      <c r="I75" s="98">
        <v>6548</v>
      </c>
      <c r="J75" s="98">
        <v>6548</v>
      </c>
      <c r="K75" s="98">
        <v>6547</v>
      </c>
      <c r="L75" s="98">
        <v>10131</v>
      </c>
      <c r="M75" s="98">
        <v>9956</v>
      </c>
      <c r="N75" s="98">
        <v>10118</v>
      </c>
      <c r="O75" s="98">
        <v>9947</v>
      </c>
      <c r="P75" s="325">
        <v>10007</v>
      </c>
      <c r="Q75" s="325">
        <v>8560</v>
      </c>
      <c r="R75" s="325">
        <v>8733</v>
      </c>
      <c r="S75" s="325">
        <v>8814</v>
      </c>
      <c r="T75" s="325">
        <v>19332</v>
      </c>
      <c r="V75" s="97" t="s">
        <v>85</v>
      </c>
      <c r="W75" s="325">
        <v>20878</v>
      </c>
      <c r="X75" s="325">
        <f>+'[36]ISA(E)'!Y75</f>
        <v>20851</v>
      </c>
    </row>
    <row r="76" spans="2:24" ht="16" thickBot="1">
      <c r="B76" s="97" t="s">
        <v>86</v>
      </c>
      <c r="C76" s="98">
        <v>209605</v>
      </c>
      <c r="D76" s="98">
        <v>191812</v>
      </c>
      <c r="E76" s="98">
        <v>187364</v>
      </c>
      <c r="F76" s="98">
        <v>182916</v>
      </c>
      <c r="G76" s="98">
        <v>178468</v>
      </c>
      <c r="H76" s="98">
        <v>173232</v>
      </c>
      <c r="I76" s="98">
        <v>169114</v>
      </c>
      <c r="J76" s="98">
        <v>164997</v>
      </c>
      <c r="K76" s="98">
        <v>160879</v>
      </c>
      <c r="L76" s="98">
        <v>158331</v>
      </c>
      <c r="M76" s="98">
        <v>154477</v>
      </c>
      <c r="N76" s="98">
        <v>151612</v>
      </c>
      <c r="O76" s="98">
        <v>147221</v>
      </c>
      <c r="P76" s="325">
        <v>143464</v>
      </c>
      <c r="Q76" s="325">
        <v>137901</v>
      </c>
      <c r="R76" s="325">
        <v>133793</v>
      </c>
      <c r="S76" s="325">
        <v>131806</v>
      </c>
      <c r="T76" s="325">
        <v>129420</v>
      </c>
      <c r="V76" s="97" t="s">
        <v>86</v>
      </c>
      <c r="W76" s="325">
        <v>125517</v>
      </c>
      <c r="X76" s="325">
        <f>+'[36]ISA(E)'!Y76</f>
        <v>121705</v>
      </c>
    </row>
    <row r="77" spans="2:24" ht="16" thickBot="1">
      <c r="B77" s="97" t="s">
        <v>116</v>
      </c>
      <c r="C77" s="98">
        <v>900352</v>
      </c>
      <c r="D77" s="98">
        <v>908995</v>
      </c>
      <c r="E77" s="98">
        <v>911922</v>
      </c>
      <c r="F77" s="98">
        <v>923989</v>
      </c>
      <c r="G77" s="98">
        <v>921376</v>
      </c>
      <c r="H77" s="98">
        <v>848216</v>
      </c>
      <c r="I77" s="98">
        <v>846041</v>
      </c>
      <c r="J77" s="98">
        <v>844589</v>
      </c>
      <c r="K77" s="98">
        <v>841597</v>
      </c>
      <c r="L77" s="98">
        <v>860525</v>
      </c>
      <c r="M77" s="98">
        <v>858780</v>
      </c>
      <c r="N77" s="98">
        <v>859174</v>
      </c>
      <c r="O77" s="98">
        <v>857158</v>
      </c>
      <c r="P77" s="325">
        <v>850437</v>
      </c>
      <c r="Q77" s="325">
        <v>845842</v>
      </c>
      <c r="R77" s="325">
        <v>861643</v>
      </c>
      <c r="S77" s="325">
        <v>1004630</v>
      </c>
      <c r="T77" s="325">
        <v>1051569</v>
      </c>
      <c r="V77" s="97" t="s">
        <v>116</v>
      </c>
      <c r="W77" s="325">
        <v>1056396</v>
      </c>
      <c r="X77" s="325">
        <f>+'[36]ISA(E)'!Y77</f>
        <v>1056396</v>
      </c>
    </row>
    <row r="78" spans="2:24" ht="15.5" thickBot="1">
      <c r="B78" s="95" t="s">
        <v>91</v>
      </c>
      <c r="C78" s="101">
        <v>3700624</v>
      </c>
      <c r="D78" s="101">
        <v>5453993</v>
      </c>
      <c r="E78" s="101">
        <v>5409065</v>
      </c>
      <c r="F78" s="101">
        <v>5421595</v>
      </c>
      <c r="G78" s="101">
        <v>5876331</v>
      </c>
      <c r="H78" s="101">
        <v>5957643</v>
      </c>
      <c r="I78" s="101">
        <v>6061670</v>
      </c>
      <c r="J78" s="101">
        <v>5812142</v>
      </c>
      <c r="K78" s="101">
        <v>5790173</v>
      </c>
      <c r="L78" s="101">
        <v>6058705</v>
      </c>
      <c r="M78" s="101">
        <v>6092821</v>
      </c>
      <c r="N78" s="101">
        <v>6326388</v>
      </c>
      <c r="O78" s="101">
        <v>6591473</v>
      </c>
      <c r="P78" s="328">
        <f t="shared" ref="P78" si="18">SUM(P71:P77)</f>
        <v>6259259</v>
      </c>
      <c r="Q78" s="328">
        <f t="shared" ref="Q78" si="19">SUM(Q71:Q77)</f>
        <v>6234641</v>
      </c>
      <c r="R78" s="328">
        <v>6115733</v>
      </c>
      <c r="S78" s="328">
        <f t="shared" ref="S78" si="20">SUM(S71:S77)</f>
        <v>6241505</v>
      </c>
      <c r="T78" s="328">
        <f t="shared" ref="T78" si="21">SUM(T71:T77)</f>
        <v>6283221</v>
      </c>
      <c r="V78" s="95" t="s">
        <v>91</v>
      </c>
      <c r="W78" s="328">
        <v>6216132</v>
      </c>
      <c r="X78" s="328">
        <f>+'[36]ISA(E)'!Y78</f>
        <v>6344989</v>
      </c>
    </row>
    <row r="79" spans="2:24" ht="15.5" thickBot="1">
      <c r="B79" s="103" t="s">
        <v>92</v>
      </c>
      <c r="C79" s="104">
        <v>3962398</v>
      </c>
      <c r="D79" s="104">
        <v>5750381</v>
      </c>
      <c r="E79" s="104">
        <v>6324523</v>
      </c>
      <c r="F79" s="104">
        <v>6327252</v>
      </c>
      <c r="G79" s="104">
        <v>6535084</v>
      </c>
      <c r="H79" s="104">
        <v>6210883</v>
      </c>
      <c r="I79" s="104">
        <v>6953411</v>
      </c>
      <c r="J79" s="104">
        <v>6808571</v>
      </c>
      <c r="K79" s="104">
        <v>6490059</v>
      </c>
      <c r="L79" s="104">
        <v>6439116</v>
      </c>
      <c r="M79" s="104">
        <v>7232724</v>
      </c>
      <c r="N79" s="104">
        <v>7432040</v>
      </c>
      <c r="O79" s="104">
        <v>7396883</v>
      </c>
      <c r="P79" s="329">
        <f t="shared" ref="P79:Q79" si="22">+P69+P78</f>
        <v>6602891</v>
      </c>
      <c r="Q79" s="329">
        <f t="shared" si="22"/>
        <v>8040173</v>
      </c>
      <c r="R79" s="329">
        <v>8061134</v>
      </c>
      <c r="S79" s="329">
        <f t="shared" ref="S79:T79" si="23">+S69+S78</f>
        <v>7523055</v>
      </c>
      <c r="T79" s="329">
        <f t="shared" si="23"/>
        <v>6703935</v>
      </c>
      <c r="V79" s="103" t="s">
        <v>92</v>
      </c>
      <c r="W79" s="329">
        <v>7501931</v>
      </c>
      <c r="X79" s="329">
        <f>+'[36]ISA(E)'!Y79</f>
        <v>7508061</v>
      </c>
    </row>
    <row r="80" spans="2:24" ht="15.5" thickBot="1">
      <c r="B80" s="106"/>
      <c r="C80" s="107"/>
      <c r="D80" s="107"/>
      <c r="E80" s="107"/>
      <c r="F80" s="107"/>
      <c r="G80" s="107"/>
      <c r="H80" s="107"/>
      <c r="I80" s="107"/>
      <c r="J80" s="107"/>
      <c r="K80" s="107"/>
      <c r="L80" s="107"/>
      <c r="M80" s="107"/>
      <c r="N80" s="107"/>
      <c r="O80" s="107"/>
      <c r="P80" s="333"/>
      <c r="Q80" s="360"/>
      <c r="R80" s="360">
        <v>0</v>
      </c>
      <c r="S80" s="360"/>
      <c r="T80" s="360"/>
      <c r="V80" s="106"/>
      <c r="W80" s="360">
        <v>0</v>
      </c>
      <c r="X80" s="360">
        <f>+'[36]ISA(E)'!Y80</f>
        <v>0</v>
      </c>
    </row>
    <row r="81" spans="1:24" ht="15.5" thickBot="1">
      <c r="B81" s="113" t="s">
        <v>93</v>
      </c>
      <c r="C81" s="112"/>
      <c r="D81" s="112"/>
      <c r="E81" s="112"/>
      <c r="F81" s="112"/>
      <c r="G81" s="112"/>
      <c r="H81" s="112"/>
      <c r="I81" s="112"/>
      <c r="J81" s="112"/>
      <c r="K81" s="112"/>
      <c r="L81" s="112"/>
      <c r="M81" s="112"/>
      <c r="N81" s="112"/>
      <c r="O81" s="112"/>
      <c r="P81" s="332"/>
      <c r="Q81" s="359"/>
      <c r="R81" s="359"/>
      <c r="S81" s="359"/>
      <c r="T81" s="359"/>
      <c r="V81" s="113" t="s">
        <v>93</v>
      </c>
      <c r="W81" s="359"/>
      <c r="X81" s="359"/>
    </row>
    <row r="82" spans="1:24" ht="16" thickBot="1">
      <c r="B82" s="97" t="s">
        <v>94</v>
      </c>
      <c r="C82" s="98">
        <v>36916</v>
      </c>
      <c r="D82" s="98">
        <v>36916</v>
      </c>
      <c r="E82" s="98">
        <v>36916</v>
      </c>
      <c r="F82" s="98">
        <v>36916</v>
      </c>
      <c r="G82" s="98">
        <v>36916</v>
      </c>
      <c r="H82" s="98">
        <v>36916</v>
      </c>
      <c r="I82" s="98">
        <v>36916</v>
      </c>
      <c r="J82" s="98">
        <v>36916</v>
      </c>
      <c r="K82" s="98">
        <v>36916</v>
      </c>
      <c r="L82" s="98">
        <v>36916</v>
      </c>
      <c r="M82" s="98">
        <v>36916</v>
      </c>
      <c r="N82" s="98">
        <v>36916</v>
      </c>
      <c r="O82" s="98">
        <v>36916</v>
      </c>
      <c r="P82" s="325">
        <v>36916</v>
      </c>
      <c r="Q82" s="325">
        <v>36916</v>
      </c>
      <c r="R82" s="325">
        <v>36916</v>
      </c>
      <c r="S82" s="325">
        <v>36916</v>
      </c>
      <c r="T82" s="325">
        <v>36916</v>
      </c>
      <c r="V82" s="97" t="s">
        <v>94</v>
      </c>
      <c r="W82" s="325">
        <v>36916</v>
      </c>
      <c r="X82" s="325">
        <f>+'[36]ISA(E)'!Y82</f>
        <v>36916</v>
      </c>
    </row>
    <row r="83" spans="1:24" ht="16" thickBot="1">
      <c r="B83" s="97" t="s">
        <v>95</v>
      </c>
      <c r="C83" s="98">
        <v>1428128</v>
      </c>
      <c r="D83" s="98">
        <v>1428128</v>
      </c>
      <c r="E83" s="98">
        <v>1428128</v>
      </c>
      <c r="F83" s="98">
        <v>1428128</v>
      </c>
      <c r="G83" s="98">
        <v>1428128</v>
      </c>
      <c r="H83" s="98">
        <v>1428128</v>
      </c>
      <c r="I83" s="98">
        <v>1428128</v>
      </c>
      <c r="J83" s="98">
        <v>1428128</v>
      </c>
      <c r="K83" s="98">
        <v>1428128</v>
      </c>
      <c r="L83" s="98">
        <v>1428128</v>
      </c>
      <c r="M83" s="98">
        <v>1428128</v>
      </c>
      <c r="N83" s="98">
        <v>1428128</v>
      </c>
      <c r="O83" s="98">
        <v>1428128</v>
      </c>
      <c r="P83" s="325">
        <v>1428128</v>
      </c>
      <c r="Q83" s="325">
        <v>1428128</v>
      </c>
      <c r="R83" s="325">
        <v>1428128</v>
      </c>
      <c r="S83" s="325">
        <v>1428128</v>
      </c>
      <c r="T83" s="325">
        <v>1428128</v>
      </c>
      <c r="V83" s="97" t="s">
        <v>95</v>
      </c>
      <c r="W83" s="325">
        <v>1428128</v>
      </c>
      <c r="X83" s="325">
        <f>+'[36]ISA(E)'!Y83</f>
        <v>1428128</v>
      </c>
    </row>
    <row r="84" spans="1:24" ht="16" thickBot="1">
      <c r="B84" s="97" t="s">
        <v>96</v>
      </c>
      <c r="C84" s="98">
        <v>1878709</v>
      </c>
      <c r="D84" s="98">
        <v>3585959</v>
      </c>
      <c r="E84" s="98">
        <v>4428306</v>
      </c>
      <c r="F84" s="98">
        <v>4428306</v>
      </c>
      <c r="G84" s="98">
        <v>4428306</v>
      </c>
      <c r="H84" s="98">
        <v>4428306</v>
      </c>
      <c r="I84" s="98">
        <v>5346023</v>
      </c>
      <c r="J84" s="98">
        <v>5346023</v>
      </c>
      <c r="K84" s="98">
        <v>5346023</v>
      </c>
      <c r="L84" s="98">
        <v>5346023</v>
      </c>
      <c r="M84" s="98">
        <v>6241845</v>
      </c>
      <c r="N84" s="98">
        <v>6241845</v>
      </c>
      <c r="O84" s="98">
        <v>6241845</v>
      </c>
      <c r="P84" s="325">
        <v>6241845</v>
      </c>
      <c r="Q84" s="325">
        <v>6861491</v>
      </c>
      <c r="R84" s="325">
        <v>6861491</v>
      </c>
      <c r="S84" s="325">
        <v>6861491</v>
      </c>
      <c r="T84" s="325">
        <v>6861491</v>
      </c>
      <c r="V84" s="97" t="s">
        <v>96</v>
      </c>
      <c r="W84" s="325">
        <v>7690798</v>
      </c>
      <c r="X84" s="325">
        <f>+'[36]ISA(E)'!Y84</f>
        <v>7690798</v>
      </c>
    </row>
    <row r="85" spans="1:24" ht="16" thickBot="1">
      <c r="B85" s="97" t="s">
        <v>97</v>
      </c>
      <c r="C85" s="98">
        <v>3242453</v>
      </c>
      <c r="D85" s="98">
        <v>3242453</v>
      </c>
      <c r="E85" s="98">
        <v>3242453</v>
      </c>
      <c r="F85" s="98">
        <v>3242453</v>
      </c>
      <c r="G85" s="98">
        <v>3242453</v>
      </c>
      <c r="H85" s="98">
        <v>3236320</v>
      </c>
      <c r="I85" s="98">
        <v>3236320</v>
      </c>
      <c r="J85" s="98">
        <v>3236320</v>
      </c>
      <c r="K85" s="98">
        <v>3236320</v>
      </c>
      <c r="L85" s="98">
        <v>3236320</v>
      </c>
      <c r="M85" s="98">
        <v>3236320</v>
      </c>
      <c r="N85" s="98">
        <v>3236320</v>
      </c>
      <c r="O85" s="98">
        <v>3207681</v>
      </c>
      <c r="P85" s="325">
        <v>3236320</v>
      </c>
      <c r="Q85" s="325">
        <v>3236320</v>
      </c>
      <c r="R85" s="325">
        <v>3236320</v>
      </c>
      <c r="S85" s="325">
        <v>3236320</v>
      </c>
      <c r="T85" s="325">
        <v>3236320</v>
      </c>
      <c r="V85" s="97" t="s">
        <v>97</v>
      </c>
      <c r="W85" s="325">
        <v>3198135</v>
      </c>
      <c r="X85" s="325">
        <f>+'[36]ISA(E)'!Y85</f>
        <v>3236320</v>
      </c>
    </row>
    <row r="86" spans="1:24" ht="16" thickBot="1">
      <c r="B86" s="97" t="s">
        <v>98</v>
      </c>
      <c r="C86" s="98">
        <v>2141460</v>
      </c>
      <c r="D86" s="98">
        <v>1442708</v>
      </c>
      <c r="E86" s="98">
        <v>298768</v>
      </c>
      <c r="F86" s="98">
        <v>532219</v>
      </c>
      <c r="G86" s="98">
        <v>946440</v>
      </c>
      <c r="H86" s="98">
        <v>1529155</v>
      </c>
      <c r="I86" s="98">
        <v>354319</v>
      </c>
      <c r="J86" s="98">
        <v>794601</v>
      </c>
      <c r="K86" s="98">
        <v>1201645</v>
      </c>
      <c r="L86" s="98">
        <v>1643505</v>
      </c>
      <c r="M86" s="98">
        <v>379700</v>
      </c>
      <c r="N86" s="98">
        <v>931307</v>
      </c>
      <c r="O86" s="98">
        <v>1412690</v>
      </c>
      <c r="P86" s="325">
        <v>2062950</v>
      </c>
      <c r="Q86" s="325">
        <v>507540</v>
      </c>
      <c r="R86" s="325">
        <v>1093020</v>
      </c>
      <c r="S86" s="325">
        <v>1213974</v>
      </c>
      <c r="T86" s="325">
        <v>1658959</v>
      </c>
      <c r="V86" s="97" t="s">
        <v>98</v>
      </c>
      <c r="W86" s="325">
        <v>427951</v>
      </c>
      <c r="X86" s="325">
        <f>+'[36]ISA(E)'!Y86</f>
        <v>1097275</v>
      </c>
    </row>
    <row r="87" spans="1:24" ht="16" thickBot="1">
      <c r="B87" s="97" t="s">
        <v>99</v>
      </c>
      <c r="C87" s="98">
        <v>1150568</v>
      </c>
      <c r="D87" s="98">
        <v>1239964</v>
      </c>
      <c r="E87" s="98">
        <v>654755</v>
      </c>
      <c r="F87" s="98">
        <v>411701</v>
      </c>
      <c r="G87" s="98">
        <v>377230</v>
      </c>
      <c r="H87" s="98">
        <v>1234415</v>
      </c>
      <c r="I87" s="98">
        <v>1023601</v>
      </c>
      <c r="J87" s="98">
        <v>1090675</v>
      </c>
      <c r="K87" s="98">
        <v>1275494</v>
      </c>
      <c r="L87" s="98">
        <v>779923</v>
      </c>
      <c r="M87" s="98">
        <v>1451479</v>
      </c>
      <c r="N87" s="98">
        <v>527195</v>
      </c>
      <c r="O87" s="98">
        <v>910036</v>
      </c>
      <c r="P87" s="325">
        <v>194014</v>
      </c>
      <c r="Q87" s="325">
        <v>745958</v>
      </c>
      <c r="R87" s="325">
        <v>1288755</v>
      </c>
      <c r="S87" s="325">
        <f>984049-1</f>
        <v>984048</v>
      </c>
      <c r="T87" s="325">
        <v>1167819</v>
      </c>
      <c r="V87" s="97" t="s">
        <v>99</v>
      </c>
      <c r="W87" s="325">
        <v>1562603</v>
      </c>
      <c r="X87" s="325">
        <f>+'[36]ISA(E)'!Y87</f>
        <v>1547105</v>
      </c>
    </row>
    <row r="88" spans="1:24" ht="15.5" thickBot="1">
      <c r="B88" s="95" t="s">
        <v>102</v>
      </c>
      <c r="C88" s="101">
        <v>9878234</v>
      </c>
      <c r="D88" s="101">
        <v>10976128</v>
      </c>
      <c r="E88" s="101">
        <v>10089326</v>
      </c>
      <c r="F88" s="101">
        <v>10079723</v>
      </c>
      <c r="G88" s="101">
        <v>10459473</v>
      </c>
      <c r="H88" s="101">
        <v>11893240</v>
      </c>
      <c r="I88" s="101">
        <f>SUM(I82:I87)</f>
        <v>11425307</v>
      </c>
      <c r="J88" s="101">
        <f>SUM(J82:J87)</f>
        <v>11932663</v>
      </c>
      <c r="K88" s="101">
        <f>SUM(K82:K87)</f>
        <v>12524526</v>
      </c>
      <c r="L88" s="101">
        <v>12470815</v>
      </c>
      <c r="M88" s="101">
        <v>12774388</v>
      </c>
      <c r="N88" s="101">
        <v>12401711</v>
      </c>
      <c r="O88" s="101">
        <v>13237296</v>
      </c>
      <c r="P88" s="328">
        <f t="shared" ref="P88" si="24">SUM(P82:P87)</f>
        <v>13200173</v>
      </c>
      <c r="Q88" s="328">
        <f t="shared" ref="Q88" si="25">SUM(Q82:Q87)</f>
        <v>12816353</v>
      </c>
      <c r="R88" s="328">
        <v>13944630</v>
      </c>
      <c r="S88" s="328">
        <f t="shared" ref="S88" si="26">SUM(S82:S87)</f>
        <v>13760877</v>
      </c>
      <c r="T88" s="328">
        <f t="shared" ref="T88" si="27">SUM(T82:T87)</f>
        <v>14389633</v>
      </c>
      <c r="V88" s="95" t="s">
        <v>102</v>
      </c>
      <c r="W88" s="328">
        <v>14344531</v>
      </c>
      <c r="X88" s="328">
        <f>+'[36]ISA(E)'!Y88</f>
        <v>15036542</v>
      </c>
    </row>
    <row r="89" spans="1:24" ht="15.5" thickBot="1">
      <c r="B89" s="114" t="s">
        <v>103</v>
      </c>
      <c r="C89" s="104">
        <v>13840632</v>
      </c>
      <c r="D89" s="104">
        <v>16726509</v>
      </c>
      <c r="E89" s="104">
        <v>16413849</v>
      </c>
      <c r="F89" s="104">
        <v>16406975</v>
      </c>
      <c r="G89" s="104">
        <v>16994557</v>
      </c>
      <c r="H89" s="104">
        <v>18104123</v>
      </c>
      <c r="I89" s="104">
        <f>+I88+I789</f>
        <v>11425307</v>
      </c>
      <c r="J89" s="104">
        <f>+J88+J789</f>
        <v>11932663</v>
      </c>
      <c r="K89" s="104">
        <f>+K88+K789</f>
        <v>12524526</v>
      </c>
      <c r="L89" s="104">
        <v>18909931</v>
      </c>
      <c r="M89" s="104">
        <v>20007112</v>
      </c>
      <c r="N89" s="104">
        <v>19833751</v>
      </c>
      <c r="O89" s="104">
        <v>20634179</v>
      </c>
      <c r="P89" s="329">
        <f t="shared" ref="P89:Q89" si="28">+P79+P88</f>
        <v>19803064</v>
      </c>
      <c r="Q89" s="329">
        <f t="shared" si="28"/>
        <v>20856526</v>
      </c>
      <c r="R89" s="329">
        <v>22005764</v>
      </c>
      <c r="S89" s="329">
        <f t="shared" ref="S89:T89" si="29">+S79+S88</f>
        <v>21283932</v>
      </c>
      <c r="T89" s="329">
        <f t="shared" si="29"/>
        <v>21093568</v>
      </c>
      <c r="V89" s="114" t="s">
        <v>103</v>
      </c>
      <c r="W89" s="329">
        <v>21846462</v>
      </c>
      <c r="X89" s="329">
        <f>+'[36]ISA(E)'!Y89</f>
        <v>22544603</v>
      </c>
    </row>
    <row r="90" spans="1:24" ht="15.5">
      <c r="B90" s="79"/>
      <c r="C90" s="115">
        <f>+C58-C79-C88</f>
        <v>0</v>
      </c>
      <c r="D90" s="115">
        <f t="shared" ref="D90:N90" si="30">+D58-D79-D88</f>
        <v>0</v>
      </c>
      <c r="E90" s="115">
        <f t="shared" si="30"/>
        <v>0</v>
      </c>
      <c r="F90" s="115">
        <f t="shared" si="30"/>
        <v>0</v>
      </c>
      <c r="G90" s="115">
        <f t="shared" si="30"/>
        <v>0</v>
      </c>
      <c r="H90" s="115">
        <f t="shared" si="30"/>
        <v>0</v>
      </c>
      <c r="I90" s="115">
        <f>+I58-I79-I88</f>
        <v>0</v>
      </c>
      <c r="J90" s="115">
        <f t="shared" si="30"/>
        <v>0</v>
      </c>
      <c r="K90" s="115">
        <f t="shared" si="30"/>
        <v>0</v>
      </c>
      <c r="L90" s="115">
        <f t="shared" si="30"/>
        <v>0</v>
      </c>
      <c r="M90" s="115">
        <f t="shared" si="30"/>
        <v>0</v>
      </c>
      <c r="N90" s="115">
        <f t="shared" si="30"/>
        <v>0</v>
      </c>
      <c r="O90" s="115">
        <v>0</v>
      </c>
      <c r="P90" s="335">
        <f t="shared" ref="P90:R90" si="31">+P89-P58</f>
        <v>0</v>
      </c>
      <c r="Q90" s="335">
        <f t="shared" si="31"/>
        <v>0</v>
      </c>
      <c r="R90" s="335">
        <f t="shared" si="31"/>
        <v>0</v>
      </c>
      <c r="S90" s="335"/>
    </row>
    <row r="91" spans="1:24" ht="15.5">
      <c r="B91" s="78"/>
      <c r="C91" s="116">
        <f>+C27-C86</f>
        <v>0</v>
      </c>
      <c r="D91" s="116">
        <f>+D27-D86</f>
        <v>0</v>
      </c>
      <c r="E91" s="116">
        <f>+E27-E86</f>
        <v>0</v>
      </c>
      <c r="F91" s="116">
        <f>+F27+E27-F86</f>
        <v>0</v>
      </c>
      <c r="G91" s="116">
        <f>+G27+F27+E27-G86</f>
        <v>0</v>
      </c>
      <c r="H91" s="116">
        <f>+H27+G27+F27+E27-H86</f>
        <v>0</v>
      </c>
      <c r="I91" s="116">
        <f>+I27-I86</f>
        <v>0</v>
      </c>
      <c r="J91" s="116">
        <f>+J27+I27-J86</f>
        <v>0</v>
      </c>
      <c r="K91" s="116">
        <f>+K27+J27+I27-K86</f>
        <v>0</v>
      </c>
      <c r="L91" s="116">
        <f>+L27+K27+J27+I27-L86</f>
        <v>0</v>
      </c>
      <c r="M91" s="116">
        <f>+M27-M86</f>
        <v>35517</v>
      </c>
      <c r="N91" s="116">
        <f>+N27+M27-N86</f>
        <v>64384</v>
      </c>
      <c r="O91" s="116"/>
      <c r="P91" s="39"/>
    </row>
    <row r="92" spans="1:24" ht="15.5">
      <c r="B92" s="78"/>
      <c r="C92" s="117"/>
      <c r="D92" s="117"/>
      <c r="E92" s="117"/>
      <c r="F92" s="117"/>
      <c r="G92" s="117"/>
      <c r="H92" s="117"/>
      <c r="I92" s="117"/>
      <c r="J92" s="117"/>
      <c r="K92" s="117"/>
      <c r="L92" s="117"/>
      <c r="M92" s="117"/>
      <c r="N92" s="117"/>
      <c r="O92" s="117"/>
    </row>
    <row r="93" spans="1:24" ht="15.5">
      <c r="A93" s="56" t="s">
        <v>104</v>
      </c>
      <c r="B93" s="12" t="s">
        <v>117</v>
      </c>
      <c r="C93" s="40"/>
      <c r="D93" s="40"/>
      <c r="E93" s="40"/>
      <c r="F93" s="40"/>
      <c r="G93" s="40"/>
      <c r="H93" s="40"/>
      <c r="I93" s="40"/>
      <c r="J93" s="40"/>
      <c r="K93" s="40"/>
      <c r="L93" s="40"/>
      <c r="M93" s="40"/>
      <c r="N93" s="40"/>
      <c r="O93" s="40"/>
    </row>
    <row r="94" spans="1:24" ht="15.5">
      <c r="B94" s="14" t="s">
        <v>18</v>
      </c>
      <c r="C94" s="79"/>
      <c r="D94" s="79"/>
      <c r="E94" s="79"/>
      <c r="F94" s="79"/>
      <c r="G94" s="79"/>
      <c r="H94" s="79"/>
      <c r="I94" s="79"/>
      <c r="J94" s="79"/>
      <c r="K94" s="79"/>
      <c r="L94" s="79"/>
      <c r="M94" s="79"/>
      <c r="N94" s="79"/>
      <c r="O94" s="79"/>
    </row>
    <row r="95" spans="1:24" ht="15.5">
      <c r="B95" s="9"/>
      <c r="C95" s="9"/>
      <c r="D95" s="9"/>
      <c r="E95" s="9"/>
      <c r="F95" s="9"/>
      <c r="G95" s="9"/>
      <c r="H95" s="9"/>
      <c r="I95" s="9"/>
      <c r="J95" s="9"/>
      <c r="K95" s="9"/>
      <c r="L95" s="9"/>
      <c r="M95" s="9"/>
      <c r="N95" s="9"/>
      <c r="O95" s="9"/>
    </row>
    <row r="96" spans="1:24" s="32" customFormat="1" ht="15.5">
      <c r="B96" s="80"/>
      <c r="C96" s="81">
        <v>2016</v>
      </c>
      <c r="D96" s="81">
        <v>2017</v>
      </c>
      <c r="E96" s="81" t="s">
        <v>19</v>
      </c>
      <c r="F96" s="81" t="s">
        <v>20</v>
      </c>
      <c r="G96" s="81" t="s">
        <v>21</v>
      </c>
      <c r="H96" s="81" t="s">
        <v>22</v>
      </c>
      <c r="I96" s="81" t="s">
        <v>23</v>
      </c>
      <c r="J96" s="81" t="s">
        <v>24</v>
      </c>
      <c r="K96" s="81" t="s">
        <v>25</v>
      </c>
      <c r="L96" s="81" t="s">
        <v>26</v>
      </c>
      <c r="M96" s="81" t="s">
        <v>27</v>
      </c>
      <c r="N96" s="81" t="s">
        <v>28</v>
      </c>
      <c r="O96" s="81" t="s">
        <v>29</v>
      </c>
      <c r="P96" s="81" t="s">
        <v>722</v>
      </c>
      <c r="Q96" s="345" t="s">
        <v>739</v>
      </c>
      <c r="R96" s="345" t="s">
        <v>913</v>
      </c>
      <c r="S96" s="345" t="s">
        <v>1051</v>
      </c>
      <c r="T96" s="345" t="s">
        <v>1089</v>
      </c>
      <c r="U96" s="46"/>
      <c r="V96" s="80"/>
      <c r="W96" s="345" t="s">
        <v>1109</v>
      </c>
      <c r="X96" s="345" t="s">
        <v>1190</v>
      </c>
    </row>
    <row r="97" spans="2:24" ht="15.5">
      <c r="B97" s="82"/>
      <c r="C97" s="9"/>
      <c r="D97" s="9"/>
      <c r="E97" s="9"/>
      <c r="F97" s="9"/>
      <c r="G97" s="9"/>
      <c r="H97" s="9"/>
      <c r="I97" s="9"/>
      <c r="J97" s="9"/>
      <c r="K97" s="9"/>
      <c r="L97" s="9"/>
      <c r="M97" s="9"/>
      <c r="N97" s="9"/>
      <c r="O97" s="9"/>
    </row>
    <row r="98" spans="2:24" ht="15.5">
      <c r="B98" s="83" t="s">
        <v>107</v>
      </c>
      <c r="C98" s="118">
        <v>1017608</v>
      </c>
      <c r="D98" s="118">
        <v>947816</v>
      </c>
      <c r="E98" s="118">
        <v>236187</v>
      </c>
      <c r="F98" s="118">
        <v>240267</v>
      </c>
      <c r="G98" s="118">
        <v>243982</v>
      </c>
      <c r="H98" s="118">
        <v>249792</v>
      </c>
      <c r="I98" s="118">
        <v>250666</v>
      </c>
      <c r="J98" s="118">
        <v>257791</v>
      </c>
      <c r="K98" s="118">
        <v>265674</v>
      </c>
      <c r="L98" s="118">
        <v>270754</v>
      </c>
      <c r="M98" s="118">
        <v>281949</v>
      </c>
      <c r="N98" s="118">
        <v>286133</v>
      </c>
      <c r="O98" s="118">
        <v>287343</v>
      </c>
      <c r="P98" s="374">
        <v>286898</v>
      </c>
      <c r="Q98" s="370">
        <v>291119</v>
      </c>
      <c r="R98" s="370">
        <v>307554</v>
      </c>
      <c r="S98" s="370">
        <v>319700</v>
      </c>
      <c r="T98" s="370">
        <v>360675</v>
      </c>
      <c r="V98" s="83" t="s">
        <v>107</v>
      </c>
      <c r="W98" s="370">
        <v>393343.60997500003</v>
      </c>
      <c r="X98" s="370">
        <f>+'[30]ITCO (Ajustado)'!E6</f>
        <v>417229.59040999995</v>
      </c>
    </row>
    <row r="99" spans="2:24" ht="15.5">
      <c r="B99" s="83" t="s">
        <v>108</v>
      </c>
      <c r="C99" s="118">
        <v>103748</v>
      </c>
      <c r="D99" s="118">
        <v>116537</v>
      </c>
      <c r="E99" s="118">
        <v>28712</v>
      </c>
      <c r="F99" s="118">
        <v>29431</v>
      </c>
      <c r="G99" s="118">
        <v>31229</v>
      </c>
      <c r="H99" s="118">
        <v>30633</v>
      </c>
      <c r="I99" s="118">
        <v>29501</v>
      </c>
      <c r="J99" s="118">
        <v>30517</v>
      </c>
      <c r="K99" s="118">
        <v>33076</v>
      </c>
      <c r="L99" s="118">
        <v>31313</v>
      </c>
      <c r="M99" s="118">
        <v>32691</v>
      </c>
      <c r="N99" s="118">
        <v>33338</v>
      </c>
      <c r="O99" s="118">
        <v>35723</v>
      </c>
      <c r="P99" s="374">
        <v>37807</v>
      </c>
      <c r="Q99" s="370">
        <v>35749</v>
      </c>
      <c r="R99" s="370">
        <v>36302</v>
      </c>
      <c r="S99" s="370">
        <v>38802</v>
      </c>
      <c r="T99" s="370">
        <v>39023</v>
      </c>
      <c r="V99" s="83" t="s">
        <v>108</v>
      </c>
      <c r="W99" s="370">
        <v>42612.763305</v>
      </c>
      <c r="X99" s="370">
        <f>+'[30]ITCO (Ajustado)'!E7</f>
        <v>45397.801374000002</v>
      </c>
    </row>
    <row r="100" spans="2:24" ht="15.5">
      <c r="B100" s="83" t="s">
        <v>118</v>
      </c>
      <c r="C100" s="118">
        <v>13564</v>
      </c>
      <c r="D100" s="118">
        <v>14655</v>
      </c>
      <c r="E100" s="118">
        <v>4037</v>
      </c>
      <c r="F100" s="118">
        <v>4771</v>
      </c>
      <c r="G100" s="118">
        <v>5463</v>
      </c>
      <c r="H100" s="118">
        <v>6263</v>
      </c>
      <c r="I100" s="118">
        <v>4507</v>
      </c>
      <c r="J100" s="118">
        <v>5088</v>
      </c>
      <c r="K100" s="118">
        <v>6103</v>
      </c>
      <c r="L100" s="118">
        <v>6957</v>
      </c>
      <c r="M100" s="118">
        <v>4849</v>
      </c>
      <c r="N100" s="118">
        <v>4212</v>
      </c>
      <c r="O100" s="118">
        <v>6011</v>
      </c>
      <c r="P100" s="375" t="s">
        <v>871</v>
      </c>
      <c r="Q100" s="370">
        <v>5410</v>
      </c>
      <c r="R100" s="370">
        <v>6200</v>
      </c>
      <c r="S100" s="370">
        <v>6725</v>
      </c>
      <c r="T100" s="370">
        <v>9099</v>
      </c>
      <c r="V100" s="83" t="s">
        <v>109</v>
      </c>
      <c r="W100" s="370">
        <v>5779.2175639999996</v>
      </c>
      <c r="X100" s="370">
        <f>+'[30]ITCO (Ajustado)'!E8</f>
        <v>7285.630180000001</v>
      </c>
    </row>
    <row r="101" spans="2:24" ht="15.5">
      <c r="B101" s="83" t="s">
        <v>119</v>
      </c>
      <c r="C101" s="118">
        <v>5535</v>
      </c>
      <c r="D101" s="118">
        <v>5566</v>
      </c>
      <c r="E101" s="118">
        <v>1417</v>
      </c>
      <c r="F101" s="118">
        <v>1418</v>
      </c>
      <c r="G101" s="118">
        <v>1418</v>
      </c>
      <c r="H101" s="118">
        <v>1688</v>
      </c>
      <c r="I101" s="118">
        <v>1876</v>
      </c>
      <c r="J101" s="118">
        <v>1862</v>
      </c>
      <c r="K101" s="118">
        <v>1840</v>
      </c>
      <c r="L101" s="118">
        <v>1844</v>
      </c>
      <c r="M101" s="118">
        <v>1100</v>
      </c>
      <c r="N101" s="118">
        <v>2010</v>
      </c>
      <c r="O101" s="118">
        <v>1505</v>
      </c>
      <c r="P101" s="374">
        <v>1535</v>
      </c>
      <c r="Q101" s="370">
        <v>1560</v>
      </c>
      <c r="R101" s="370">
        <v>1560</v>
      </c>
      <c r="S101" s="370">
        <v>1562</v>
      </c>
      <c r="T101" s="370">
        <v>1579</v>
      </c>
      <c r="V101" s="83" t="s">
        <v>110</v>
      </c>
      <c r="W101" s="370">
        <v>1842.7765079999999</v>
      </c>
      <c r="X101" s="370">
        <f>+'[30]ITCO (Ajustado)'!E9</f>
        <v>1839.359954</v>
      </c>
    </row>
    <row r="102" spans="2:24" ht="15.5">
      <c r="B102" s="83" t="s">
        <v>39</v>
      </c>
      <c r="C102" s="118">
        <v>17730</v>
      </c>
      <c r="D102" s="118">
        <v>19144</v>
      </c>
      <c r="E102" s="118">
        <v>4127</v>
      </c>
      <c r="F102" s="118">
        <v>5694</v>
      </c>
      <c r="G102" s="118">
        <v>6555</v>
      </c>
      <c r="H102" s="118">
        <v>6652</v>
      </c>
      <c r="I102" s="118">
        <v>5184</v>
      </c>
      <c r="J102" s="118">
        <v>5827</v>
      </c>
      <c r="K102" s="118">
        <v>5445</v>
      </c>
      <c r="L102" s="118">
        <v>7489</v>
      </c>
      <c r="M102" s="118">
        <v>5693</v>
      </c>
      <c r="N102" s="118">
        <v>7000</v>
      </c>
      <c r="O102" s="118">
        <v>6344</v>
      </c>
      <c r="P102" s="374">
        <v>6663</v>
      </c>
      <c r="Q102" s="370">
        <v>6302</v>
      </c>
      <c r="R102" s="370">
        <v>7015</v>
      </c>
      <c r="S102" s="370">
        <v>6512</v>
      </c>
      <c r="T102" s="370">
        <v>8628</v>
      </c>
      <c r="V102" s="83" t="s">
        <v>39</v>
      </c>
      <c r="W102" s="370">
        <v>7705.5847350000004</v>
      </c>
      <c r="X102" s="370">
        <f>+'[30]ITCO (Ajustado)'!E10</f>
        <v>9105.1047120000003</v>
      </c>
    </row>
    <row r="103" spans="2:24" ht="15.5">
      <c r="B103" s="83" t="s">
        <v>40</v>
      </c>
      <c r="C103" s="118">
        <v>1094702</v>
      </c>
      <c r="D103" s="118">
        <v>1054887</v>
      </c>
      <c r="E103" s="118">
        <v>262624</v>
      </c>
      <c r="F103" s="118">
        <v>269268</v>
      </c>
      <c r="G103" s="118">
        <v>275919</v>
      </c>
      <c r="H103" s="118">
        <v>283929</v>
      </c>
      <c r="I103" s="118">
        <v>279650</v>
      </c>
      <c r="J103" s="118">
        <v>287769</v>
      </c>
      <c r="K103" s="118">
        <v>302186</v>
      </c>
      <c r="L103" s="118">
        <v>305298</v>
      </c>
      <c r="M103" s="118">
        <v>312532</v>
      </c>
      <c r="N103" s="118">
        <v>316528</v>
      </c>
      <c r="O103" s="118">
        <v>322980</v>
      </c>
      <c r="P103" s="374">
        <v>330632</v>
      </c>
      <c r="Q103" s="370">
        <v>325388</v>
      </c>
      <c r="R103" s="370">
        <v>343138</v>
      </c>
      <c r="S103" s="370">
        <v>357680</v>
      </c>
      <c r="T103" s="370">
        <v>405799</v>
      </c>
      <c r="V103" s="83" t="s">
        <v>40</v>
      </c>
      <c r="W103" s="370">
        <v>431807.54219300003</v>
      </c>
      <c r="X103" s="370">
        <f>+'[30]ITCO (Ajustado)'!E11</f>
        <v>460159.74594800005</v>
      </c>
    </row>
    <row r="104" spans="2:24" ht="15.5">
      <c r="B104" s="85" t="s">
        <v>111</v>
      </c>
      <c r="C104" s="119">
        <v>63483</v>
      </c>
      <c r="D104" s="119">
        <v>48831</v>
      </c>
      <c r="E104" s="119">
        <v>11856</v>
      </c>
      <c r="F104" s="119">
        <v>12313</v>
      </c>
      <c r="G104" s="119">
        <v>12728</v>
      </c>
      <c r="H104" s="119">
        <v>11099</v>
      </c>
      <c r="I104" s="119">
        <v>12084</v>
      </c>
      <c r="J104" s="119">
        <v>13316</v>
      </c>
      <c r="K104" s="119">
        <v>9952</v>
      </c>
      <c r="L104" s="119">
        <v>13059</v>
      </c>
      <c r="M104" s="119">
        <v>13750</v>
      </c>
      <c r="N104" s="119">
        <v>16165</v>
      </c>
      <c r="O104" s="119">
        <v>13946</v>
      </c>
      <c r="P104" s="376">
        <v>8791</v>
      </c>
      <c r="Q104" s="371">
        <v>14752</v>
      </c>
      <c r="R104" s="371">
        <v>15491</v>
      </c>
      <c r="S104" s="371">
        <v>15621</v>
      </c>
      <c r="T104" s="371">
        <f>+SUM(T98:T102)-T103</f>
        <v>13205</v>
      </c>
      <c r="V104" s="83" t="s">
        <v>43</v>
      </c>
      <c r="W104" s="370">
        <v>1129.4228969999999</v>
      </c>
      <c r="X104" s="370">
        <f>+'[30]ITCO (Ajustado)'!E12</f>
        <v>1167.2249219999999</v>
      </c>
    </row>
    <row r="105" spans="2:24" ht="15.5">
      <c r="B105" s="82"/>
      <c r="C105" s="9"/>
      <c r="D105" s="9"/>
      <c r="E105" s="9"/>
      <c r="F105" s="9"/>
      <c r="G105" s="9"/>
      <c r="H105" s="9"/>
      <c r="I105" s="9"/>
      <c r="J105" s="9"/>
      <c r="K105" s="9"/>
      <c r="L105" s="9"/>
      <c r="M105" s="9"/>
      <c r="N105" s="9"/>
      <c r="O105" s="9"/>
      <c r="P105" s="377"/>
      <c r="Q105" s="372"/>
      <c r="R105" s="372"/>
      <c r="S105" s="372">
        <v>0</v>
      </c>
      <c r="T105" s="630"/>
      <c r="V105" s="85" t="s">
        <v>1114</v>
      </c>
      <c r="W105" s="371">
        <v>18346.986996999982</v>
      </c>
      <c r="X105" s="371">
        <f>+'[30]ITCO (Ajustado)'!E13</f>
        <v>19530.515759999889</v>
      </c>
    </row>
    <row r="106" spans="2:24" ht="15.5">
      <c r="B106" s="83" t="s">
        <v>43</v>
      </c>
      <c r="C106" s="118">
        <v>20860</v>
      </c>
      <c r="D106" s="118">
        <v>6255</v>
      </c>
      <c r="E106" s="118">
        <v>786</v>
      </c>
      <c r="F106" s="118">
        <v>776</v>
      </c>
      <c r="G106" s="118">
        <v>1529</v>
      </c>
      <c r="H106" s="118">
        <v>380</v>
      </c>
      <c r="I106" s="118">
        <v>699</v>
      </c>
      <c r="J106" s="118">
        <v>856</v>
      </c>
      <c r="K106" s="118">
        <v>1047</v>
      </c>
      <c r="L106" s="118">
        <v>-21</v>
      </c>
      <c r="M106" s="118">
        <v>1031</v>
      </c>
      <c r="N106" s="118">
        <v>711</v>
      </c>
      <c r="O106" s="118">
        <v>943</v>
      </c>
      <c r="P106" s="374">
        <v>-3416</v>
      </c>
      <c r="Q106" s="370">
        <v>1273</v>
      </c>
      <c r="R106" s="370">
        <v>1121</v>
      </c>
      <c r="S106" s="370">
        <v>38</v>
      </c>
      <c r="T106" s="370">
        <f>-1936</f>
        <v>-1936</v>
      </c>
      <c r="W106" s="370"/>
      <c r="X106" s="370">
        <f>+'[30]ITCO (Ajustado)'!E14</f>
        <v>0</v>
      </c>
    </row>
    <row r="107" spans="2:24" ht="15.5">
      <c r="B107" s="83" t="s">
        <v>44</v>
      </c>
      <c r="C107" s="118">
        <v>0</v>
      </c>
      <c r="D107" s="118">
        <v>0</v>
      </c>
      <c r="E107" s="118">
        <v>0</v>
      </c>
      <c r="F107" s="118">
        <v>0</v>
      </c>
      <c r="G107" s="118">
        <v>0</v>
      </c>
      <c r="H107" s="118">
        <v>0</v>
      </c>
      <c r="I107" s="118">
        <v>0</v>
      </c>
      <c r="J107" s="118">
        <v>0</v>
      </c>
      <c r="K107" s="118">
        <v>0</v>
      </c>
      <c r="L107" s="118">
        <v>0</v>
      </c>
      <c r="M107" s="118">
        <v>0</v>
      </c>
      <c r="N107" s="118">
        <v>0</v>
      </c>
      <c r="O107" s="118">
        <v>0</v>
      </c>
      <c r="P107" s="375" t="s">
        <v>728</v>
      </c>
      <c r="Q107" s="312" t="s">
        <v>870</v>
      </c>
      <c r="R107" s="312" t="s">
        <v>870</v>
      </c>
      <c r="S107" s="312" t="s">
        <v>870</v>
      </c>
      <c r="T107" s="312">
        <v>0</v>
      </c>
      <c r="V107" s="609" t="s">
        <v>44</v>
      </c>
      <c r="W107" s="370">
        <v>0</v>
      </c>
      <c r="X107" s="370">
        <f>+'[30]ITCO (Ajustado)'!E15</f>
        <v>0</v>
      </c>
    </row>
    <row r="108" spans="2:24" ht="15.5">
      <c r="B108" s="83" t="s">
        <v>45</v>
      </c>
      <c r="C108" s="118">
        <v>778</v>
      </c>
      <c r="D108" s="118">
        <v>1175</v>
      </c>
      <c r="E108" s="118">
        <v>293</v>
      </c>
      <c r="F108" s="118">
        <v>299</v>
      </c>
      <c r="G108" s="118">
        <v>358</v>
      </c>
      <c r="H108" s="118">
        <v>438</v>
      </c>
      <c r="I108" s="118">
        <v>308</v>
      </c>
      <c r="J108" s="118">
        <v>302</v>
      </c>
      <c r="K108" s="118">
        <v>1921</v>
      </c>
      <c r="L108" s="118">
        <v>350</v>
      </c>
      <c r="M108" s="118">
        <v>316</v>
      </c>
      <c r="N108" s="118">
        <v>-1220</v>
      </c>
      <c r="O108" s="118">
        <v>197</v>
      </c>
      <c r="P108" s="375">
        <v>-23</v>
      </c>
      <c r="Q108" s="312">
        <v>497</v>
      </c>
      <c r="R108" s="312">
        <v>352</v>
      </c>
      <c r="S108" s="312">
        <v>185</v>
      </c>
      <c r="T108" s="312">
        <v>320</v>
      </c>
      <c r="V108" s="83" t="s">
        <v>45</v>
      </c>
      <c r="W108" s="370">
        <v>418.43349899999998</v>
      </c>
      <c r="X108" s="370">
        <f>+'[30]ITCO (Ajustado)'!E16</f>
        <v>120.30625999999995</v>
      </c>
    </row>
    <row r="109" spans="2:24" ht="15.5">
      <c r="B109" s="85" t="s">
        <v>46</v>
      </c>
      <c r="C109" s="120">
        <v>43401</v>
      </c>
      <c r="D109" s="120">
        <v>43751</v>
      </c>
      <c r="E109" s="120">
        <v>11363</v>
      </c>
      <c r="F109" s="120">
        <v>11836</v>
      </c>
      <c r="G109" s="120">
        <v>11557</v>
      </c>
      <c r="H109" s="120">
        <v>11157</v>
      </c>
      <c r="I109" s="120">
        <v>11693</v>
      </c>
      <c r="J109" s="120">
        <v>12762</v>
      </c>
      <c r="K109" s="120">
        <v>10826</v>
      </c>
      <c r="L109" s="120">
        <v>13430</v>
      </c>
      <c r="M109" s="120">
        <v>13035</v>
      </c>
      <c r="N109" s="120">
        <v>14234</v>
      </c>
      <c r="O109" s="120">
        <v>13200</v>
      </c>
      <c r="P109" s="376">
        <v>12184</v>
      </c>
      <c r="Q109" s="371">
        <v>13976</v>
      </c>
      <c r="R109" s="371">
        <v>14722</v>
      </c>
      <c r="S109" s="371">
        <v>223</v>
      </c>
      <c r="T109" s="371">
        <v>15461</v>
      </c>
      <c r="V109" s="85" t="s">
        <v>46</v>
      </c>
      <c r="W109" s="371">
        <v>18765.420495999981</v>
      </c>
      <c r="X109" s="371">
        <f>+'[30]ITCO (Ajustado)'!E17</f>
        <v>19650.822019999887</v>
      </c>
    </row>
    <row r="110" spans="2:24" ht="15.5">
      <c r="B110" s="83"/>
      <c r="C110" s="118"/>
      <c r="D110" s="118"/>
      <c r="E110" s="118"/>
      <c r="F110" s="118"/>
      <c r="G110" s="118"/>
      <c r="H110" s="118"/>
      <c r="I110" s="118"/>
      <c r="J110" s="118"/>
      <c r="K110" s="118"/>
      <c r="L110" s="118"/>
      <c r="M110" s="118"/>
      <c r="N110" s="118"/>
      <c r="O110" s="118"/>
      <c r="P110" s="375"/>
      <c r="Q110" s="312"/>
      <c r="R110" s="312"/>
      <c r="S110" s="312">
        <v>0</v>
      </c>
      <c r="T110" s="370"/>
      <c r="W110" s="370"/>
      <c r="X110" s="370">
        <f>+'[30]ITCO (Ajustado)'!E18</f>
        <v>0</v>
      </c>
    </row>
    <row r="111" spans="2:24" ht="15.5">
      <c r="B111" s="83" t="s">
        <v>47</v>
      </c>
      <c r="C111" s="118">
        <v>236</v>
      </c>
      <c r="D111" s="118">
        <v>-1324</v>
      </c>
      <c r="E111" s="118">
        <v>-470</v>
      </c>
      <c r="F111" s="118">
        <v>-1010</v>
      </c>
      <c r="G111" s="118">
        <v>-442</v>
      </c>
      <c r="H111" s="118">
        <v>-246</v>
      </c>
      <c r="I111" s="118">
        <v>-725</v>
      </c>
      <c r="J111" s="118">
        <v>-1309</v>
      </c>
      <c r="K111" s="118">
        <v>207</v>
      </c>
      <c r="L111" s="118">
        <v>-1470</v>
      </c>
      <c r="M111" s="118">
        <v>-548</v>
      </c>
      <c r="N111" s="118">
        <v>-1022</v>
      </c>
      <c r="O111" s="118">
        <v>-255</v>
      </c>
      <c r="P111" s="375">
        <v>-188</v>
      </c>
      <c r="Q111" s="312">
        <v>-914</v>
      </c>
      <c r="R111" s="312">
        <v>-1205</v>
      </c>
      <c r="S111" s="312">
        <v>-1843</v>
      </c>
      <c r="T111" s="370">
        <v>508</v>
      </c>
      <c r="V111" s="83" t="s">
        <v>47</v>
      </c>
      <c r="W111" s="370">
        <v>-797.62543500000004</v>
      </c>
      <c r="X111" s="370">
        <f>+'[30]ITCO (Ajustado)'!E19</f>
        <v>-848.90028499999983</v>
      </c>
    </row>
    <row r="112" spans="2:24" ht="15.5">
      <c r="B112" s="85" t="s">
        <v>48</v>
      </c>
      <c r="C112" s="120">
        <v>43637</v>
      </c>
      <c r="D112" s="120">
        <v>42427</v>
      </c>
      <c r="E112" s="120">
        <v>10893</v>
      </c>
      <c r="F112" s="120">
        <v>10826</v>
      </c>
      <c r="G112" s="120">
        <v>11115</v>
      </c>
      <c r="H112" s="120">
        <v>10911</v>
      </c>
      <c r="I112" s="120">
        <v>10968</v>
      </c>
      <c r="J112" s="120">
        <v>11453</v>
      </c>
      <c r="K112" s="120">
        <v>11033</v>
      </c>
      <c r="L112" s="120">
        <v>11960</v>
      </c>
      <c r="M112" s="120">
        <v>12487</v>
      </c>
      <c r="N112" s="120">
        <v>13212</v>
      </c>
      <c r="O112" s="120">
        <v>12945</v>
      </c>
      <c r="P112" s="376">
        <v>11996</v>
      </c>
      <c r="Q112" s="371">
        <v>13062</v>
      </c>
      <c r="R112" s="371">
        <v>13518</v>
      </c>
      <c r="S112" s="371">
        <v>14002</v>
      </c>
      <c r="T112" s="371">
        <v>15969</v>
      </c>
      <c r="V112" s="85" t="s">
        <v>48</v>
      </c>
      <c r="W112" s="371">
        <v>17967.795060999979</v>
      </c>
      <c r="X112" s="371">
        <f>+'[30]ITCO (Ajustado)'!E20</f>
        <v>18801.921734999891</v>
      </c>
    </row>
    <row r="113" spans="1:24" ht="15.5">
      <c r="B113" s="82"/>
      <c r="C113" s="9"/>
      <c r="D113" s="9"/>
      <c r="E113" s="9"/>
      <c r="F113" s="9"/>
      <c r="G113" s="9"/>
      <c r="H113" s="9"/>
      <c r="I113" s="9"/>
      <c r="J113" s="9"/>
      <c r="K113" s="9"/>
      <c r="L113" s="9"/>
      <c r="M113" s="9"/>
      <c r="N113" s="9"/>
      <c r="O113" s="9"/>
      <c r="P113" s="377"/>
      <c r="Q113" s="373"/>
      <c r="R113" s="373"/>
      <c r="S113" s="373"/>
      <c r="T113" s="631"/>
      <c r="V113" s="82"/>
      <c r="W113" s="370"/>
      <c r="X113" s="370">
        <f>+'[30]ITCO (Ajustado)'!E21</f>
        <v>0</v>
      </c>
    </row>
    <row r="114" spans="1:24" ht="15.5">
      <c r="B114" s="83" t="s">
        <v>49</v>
      </c>
      <c r="C114" s="118">
        <v>20008</v>
      </c>
      <c r="D114" s="118">
        <v>18005</v>
      </c>
      <c r="E114" s="118">
        <v>4189</v>
      </c>
      <c r="F114" s="118">
        <v>2264</v>
      </c>
      <c r="G114" s="118">
        <v>4363</v>
      </c>
      <c r="H114" s="118">
        <v>6451</v>
      </c>
      <c r="I114" s="118">
        <v>3396</v>
      </c>
      <c r="J114" s="118">
        <v>4552</v>
      </c>
      <c r="K114" s="118">
        <v>2844</v>
      </c>
      <c r="L114" s="118">
        <v>1679</v>
      </c>
      <c r="M114" s="118">
        <v>3913</v>
      </c>
      <c r="N114" s="118">
        <v>8604</v>
      </c>
      <c r="O114" s="118">
        <v>4572</v>
      </c>
      <c r="P114" s="374">
        <v>4127</v>
      </c>
      <c r="Q114" s="370">
        <v>3992</v>
      </c>
      <c r="R114" s="370">
        <v>4622</v>
      </c>
      <c r="S114" s="370">
        <v>600</v>
      </c>
      <c r="T114" s="370">
        <v>9244</v>
      </c>
      <c r="V114" s="83" t="s">
        <v>49</v>
      </c>
      <c r="W114" s="370">
        <v>6689.1911600000003</v>
      </c>
      <c r="X114" s="370">
        <f>+'[30]ITCO (Ajustado)'!E22</f>
        <v>6943.181462999999</v>
      </c>
    </row>
    <row r="115" spans="1:24" ht="15.5">
      <c r="B115" s="85" t="s">
        <v>52</v>
      </c>
      <c r="C115" s="120">
        <v>23629</v>
      </c>
      <c r="D115" s="120">
        <v>24422</v>
      </c>
      <c r="E115" s="120">
        <v>6704</v>
      </c>
      <c r="F115" s="120">
        <v>8562</v>
      </c>
      <c r="G115" s="120">
        <v>6752</v>
      </c>
      <c r="H115" s="120">
        <v>4460</v>
      </c>
      <c r="I115" s="120">
        <v>7572</v>
      </c>
      <c r="J115" s="120">
        <v>6901</v>
      </c>
      <c r="K115" s="120">
        <v>8189</v>
      </c>
      <c r="L115" s="120">
        <v>10281</v>
      </c>
      <c r="M115" s="120">
        <v>8574</v>
      </c>
      <c r="N115" s="120">
        <v>4608</v>
      </c>
      <c r="O115" s="120">
        <v>8373</v>
      </c>
      <c r="P115" s="376">
        <v>7869</v>
      </c>
      <c r="Q115" s="371">
        <v>9070</v>
      </c>
      <c r="R115" s="371">
        <v>8896</v>
      </c>
      <c r="S115" s="371">
        <v>13402</v>
      </c>
      <c r="T115" s="371">
        <v>6724.5462039997365</v>
      </c>
      <c r="V115" s="85" t="s">
        <v>52</v>
      </c>
      <c r="W115" s="371">
        <v>11278.603900999979</v>
      </c>
      <c r="X115" s="371">
        <f>+'[30]ITCO (Ajustado)'!E23</f>
        <v>11858.740271999892</v>
      </c>
    </row>
    <row r="116" spans="1:24" ht="15.5">
      <c r="B116" s="78"/>
      <c r="C116" s="78"/>
      <c r="D116" s="78"/>
      <c r="E116" s="78"/>
      <c r="F116" s="78"/>
      <c r="G116" s="78"/>
      <c r="H116" s="78"/>
      <c r="I116" s="78"/>
      <c r="J116" s="78"/>
      <c r="K116" s="78"/>
      <c r="L116" s="78"/>
      <c r="M116" s="78"/>
      <c r="N116" s="78"/>
      <c r="O116" s="78"/>
      <c r="P116" s="378"/>
      <c r="W116" s="370"/>
      <c r="X116" s="370">
        <f>+'[30]ITCO (Ajustado)'!E24</f>
        <v>0</v>
      </c>
    </row>
    <row r="117" spans="1:24" ht="15.5">
      <c r="B117" s="78"/>
      <c r="C117" s="78"/>
      <c r="D117" s="78"/>
      <c r="E117" s="78"/>
      <c r="F117" s="78"/>
      <c r="G117" s="78"/>
      <c r="H117" s="78"/>
      <c r="I117" s="78"/>
      <c r="J117" s="78"/>
      <c r="K117" s="78"/>
      <c r="L117" s="78"/>
      <c r="M117" s="78"/>
      <c r="N117" s="78"/>
      <c r="O117" s="78"/>
      <c r="P117" s="378"/>
      <c r="V117" s="639" t="s">
        <v>42</v>
      </c>
      <c r="W117" s="371">
        <v>18413</v>
      </c>
      <c r="X117" s="371">
        <f>+'[30]ITCO (Ajustado)'!E25</f>
        <v>37711</v>
      </c>
    </row>
    <row r="118" spans="1:24" ht="15.5">
      <c r="B118" s="78"/>
      <c r="C118" s="78"/>
      <c r="D118" s="78"/>
      <c r="E118" s="78"/>
      <c r="F118" s="78"/>
      <c r="G118" s="78"/>
      <c r="H118" s="78"/>
      <c r="I118" s="78"/>
      <c r="J118" s="78"/>
      <c r="K118" s="78"/>
      <c r="L118" s="78"/>
      <c r="M118" s="78"/>
      <c r="N118" s="78"/>
      <c r="O118" s="78"/>
      <c r="P118" s="378"/>
    </row>
    <row r="119" spans="1:24" ht="15.5">
      <c r="A119" s="56" t="s">
        <v>104</v>
      </c>
      <c r="B119" s="12" t="s">
        <v>120</v>
      </c>
      <c r="C119" s="79"/>
      <c r="D119" s="79"/>
      <c r="E119" s="79"/>
      <c r="F119" s="79"/>
      <c r="G119" s="79"/>
      <c r="H119" s="88"/>
      <c r="I119" s="88"/>
      <c r="J119" s="88"/>
      <c r="K119" s="88"/>
      <c r="L119" s="88"/>
      <c r="M119" s="88"/>
      <c r="N119" s="88"/>
      <c r="O119" s="88"/>
      <c r="P119" s="378"/>
    </row>
    <row r="120" spans="1:24" ht="15.5">
      <c r="B120" s="14" t="s">
        <v>54</v>
      </c>
      <c r="C120" s="79"/>
      <c r="D120" s="79"/>
      <c r="E120" s="79"/>
      <c r="F120" s="79"/>
      <c r="G120" s="79"/>
      <c r="H120" s="89"/>
      <c r="I120" s="89"/>
      <c r="J120" s="89"/>
      <c r="K120" s="89"/>
      <c r="L120" s="89"/>
      <c r="M120" s="89"/>
      <c r="N120" s="121">
        <v>1000000</v>
      </c>
      <c r="O120" s="121"/>
      <c r="P120" s="378"/>
    </row>
    <row r="121" spans="1:24" ht="15.5">
      <c r="B121" s="90"/>
      <c r="C121" s="79"/>
      <c r="D121" s="79"/>
      <c r="E121" s="79"/>
      <c r="F121" s="79"/>
      <c r="G121" s="79"/>
      <c r="H121" s="90"/>
      <c r="I121" s="90"/>
      <c r="J121" s="90"/>
      <c r="K121" s="90"/>
      <c r="L121" s="90"/>
      <c r="M121" s="90"/>
      <c r="N121" s="79"/>
      <c r="O121" s="79"/>
      <c r="P121" s="378"/>
    </row>
    <row r="122" spans="1:24" ht="16" thickBot="1">
      <c r="B122" s="91"/>
      <c r="C122" s="92"/>
      <c r="D122" s="92"/>
      <c r="E122" s="92"/>
      <c r="F122" s="92"/>
      <c r="G122" s="92"/>
      <c r="H122" s="92"/>
      <c r="I122" s="92"/>
      <c r="J122" s="92"/>
      <c r="K122" s="92"/>
      <c r="L122" s="92"/>
      <c r="M122" s="92"/>
      <c r="N122" s="92"/>
      <c r="O122" s="92"/>
      <c r="P122" s="379" t="s">
        <v>729</v>
      </c>
      <c r="Q122" s="313"/>
      <c r="R122" s="313" t="s">
        <v>729</v>
      </c>
      <c r="S122" s="313"/>
      <c r="T122" s="313"/>
      <c r="V122" s="91"/>
      <c r="W122" s="345" t="s">
        <v>1109</v>
      </c>
      <c r="X122" s="345" t="s">
        <v>1190</v>
      </c>
    </row>
    <row r="123" spans="1:24" ht="16" thickBot="1">
      <c r="B123" s="93" t="s">
        <v>55</v>
      </c>
      <c r="C123" s="94"/>
      <c r="D123" s="94"/>
      <c r="E123" s="94"/>
      <c r="F123" s="94"/>
      <c r="G123" s="94"/>
      <c r="H123" s="94"/>
      <c r="I123" s="94"/>
      <c r="J123" s="94"/>
      <c r="K123" s="94"/>
      <c r="L123" s="94"/>
      <c r="M123" s="94"/>
      <c r="N123" s="93"/>
      <c r="O123" s="93"/>
      <c r="P123" s="380" t="s">
        <v>729</v>
      </c>
      <c r="Q123" s="314"/>
      <c r="R123" s="314" t="s">
        <v>729</v>
      </c>
      <c r="S123" s="314"/>
      <c r="T123" s="314"/>
      <c r="V123" s="355" t="s">
        <v>55</v>
      </c>
      <c r="W123" s="314"/>
      <c r="X123" s="314"/>
    </row>
    <row r="124" spans="1:24" ht="16" thickBot="1">
      <c r="B124" s="95" t="s">
        <v>56</v>
      </c>
      <c r="C124" s="96"/>
      <c r="D124" s="96"/>
      <c r="E124" s="96"/>
      <c r="F124" s="96"/>
      <c r="G124" s="96"/>
      <c r="H124" s="96"/>
      <c r="I124" s="96"/>
      <c r="J124" s="96"/>
      <c r="K124" s="96"/>
      <c r="L124" s="96"/>
      <c r="M124" s="96"/>
      <c r="N124" s="96"/>
      <c r="O124" s="96"/>
      <c r="P124" s="381" t="s">
        <v>729</v>
      </c>
      <c r="Q124" s="315"/>
      <c r="R124" s="315" t="s">
        <v>729</v>
      </c>
      <c r="S124" s="315"/>
      <c r="T124" s="315"/>
      <c r="V124" s="95" t="s">
        <v>56</v>
      </c>
      <c r="W124" s="315"/>
      <c r="X124" s="315"/>
    </row>
    <row r="125" spans="1:24" ht="16" thickBot="1">
      <c r="B125" s="97" t="s">
        <v>57</v>
      </c>
      <c r="C125" s="98">
        <v>23319</v>
      </c>
      <c r="D125" s="98">
        <v>9087</v>
      </c>
      <c r="E125" s="98">
        <v>2785</v>
      </c>
      <c r="F125" s="98">
        <v>22853</v>
      </c>
      <c r="G125" s="98">
        <v>15789</v>
      </c>
      <c r="H125" s="98">
        <v>6897</v>
      </c>
      <c r="I125" s="98">
        <v>19708</v>
      </c>
      <c r="J125" s="98">
        <v>14069</v>
      </c>
      <c r="K125" s="98">
        <v>19842</v>
      </c>
      <c r="L125" s="98">
        <v>15917</v>
      </c>
      <c r="M125" s="98">
        <v>27931</v>
      </c>
      <c r="N125" s="98">
        <v>28816</v>
      </c>
      <c r="O125" s="98">
        <v>13300</v>
      </c>
      <c r="P125" s="382">
        <v>24596</v>
      </c>
      <c r="Q125" s="382">
        <v>15080</v>
      </c>
      <c r="R125" s="382">
        <v>25221</v>
      </c>
      <c r="S125" s="382">
        <v>26043</v>
      </c>
      <c r="T125" s="382">
        <v>19490</v>
      </c>
      <c r="V125" s="97" t="s">
        <v>57</v>
      </c>
      <c r="W125" s="382">
        <v>12663</v>
      </c>
      <c r="X125" s="382">
        <f>+'[30]ITCO (Ajustado)'!E34</f>
        <v>26955</v>
      </c>
    </row>
    <row r="126" spans="1:24" ht="16" thickBot="1">
      <c r="B126" s="97" t="s">
        <v>58</v>
      </c>
      <c r="C126" s="98">
        <v>110464</v>
      </c>
      <c r="D126" s="98">
        <v>115144</v>
      </c>
      <c r="E126" s="98">
        <v>112904</v>
      </c>
      <c r="F126" s="98">
        <v>117435</v>
      </c>
      <c r="G126" s="98">
        <v>119858</v>
      </c>
      <c r="H126" s="98">
        <v>121770</v>
      </c>
      <c r="I126" s="98">
        <v>118333</v>
      </c>
      <c r="J126" s="98">
        <v>124432</v>
      </c>
      <c r="K126" s="98">
        <v>125586</v>
      </c>
      <c r="L126" s="98">
        <v>123153</v>
      </c>
      <c r="M126" s="98">
        <v>129153</v>
      </c>
      <c r="N126" s="98">
        <v>129965</v>
      </c>
      <c r="O126" s="98">
        <v>136029</v>
      </c>
      <c r="P126" s="383">
        <v>135302</v>
      </c>
      <c r="Q126" s="383">
        <v>135755</v>
      </c>
      <c r="R126" s="383">
        <v>139694</v>
      </c>
      <c r="S126" s="383">
        <v>148014</v>
      </c>
      <c r="T126" s="383">
        <v>170285</v>
      </c>
      <c r="V126" s="97" t="s">
        <v>58</v>
      </c>
      <c r="W126" s="383">
        <v>178658</v>
      </c>
      <c r="X126" s="383">
        <f>+'[30]ITCO (Ajustado)'!E35</f>
        <v>189714</v>
      </c>
    </row>
    <row r="127" spans="1:24" ht="16" thickBot="1">
      <c r="B127" s="97" t="s">
        <v>59</v>
      </c>
      <c r="C127" s="98">
        <v>13841</v>
      </c>
      <c r="D127" s="98">
        <v>14865</v>
      </c>
      <c r="E127" s="98">
        <v>20485</v>
      </c>
      <c r="F127" s="98">
        <v>32304</v>
      </c>
      <c r="G127" s="98">
        <v>21822</v>
      </c>
      <c r="H127" s="98">
        <v>8704</v>
      </c>
      <c r="I127" s="98">
        <v>17458</v>
      </c>
      <c r="J127" s="98">
        <v>19192</v>
      </c>
      <c r="K127" s="98">
        <v>23815</v>
      </c>
      <c r="L127" s="98">
        <v>14458</v>
      </c>
      <c r="M127" s="98">
        <v>18479</v>
      </c>
      <c r="N127" s="98">
        <v>16694</v>
      </c>
      <c r="O127" s="98">
        <v>10215</v>
      </c>
      <c r="P127" s="384">
        <v>456</v>
      </c>
      <c r="Q127" s="384">
        <v>4357</v>
      </c>
      <c r="R127" s="384">
        <v>12024</v>
      </c>
      <c r="S127" s="384">
        <v>15150</v>
      </c>
      <c r="T127" s="382">
        <v>214</v>
      </c>
      <c r="V127" s="97" t="s">
        <v>59</v>
      </c>
      <c r="W127" s="382">
        <v>3868</v>
      </c>
      <c r="X127" s="382">
        <f>+'[30]ITCO (Ajustado)'!E36</f>
        <v>5685</v>
      </c>
    </row>
    <row r="128" spans="1:24" ht="16" thickBot="1">
      <c r="B128" s="97" t="s">
        <v>60</v>
      </c>
      <c r="C128" s="98">
        <v>3633</v>
      </c>
      <c r="D128" s="98">
        <v>3534</v>
      </c>
      <c r="E128" s="98">
        <v>4103</v>
      </c>
      <c r="F128" s="98">
        <v>4237</v>
      </c>
      <c r="G128" s="98">
        <v>3991</v>
      </c>
      <c r="H128" s="98">
        <v>3702</v>
      </c>
      <c r="I128" s="98">
        <v>3585</v>
      </c>
      <c r="J128" s="98">
        <v>3171</v>
      </c>
      <c r="K128" s="98">
        <v>2788</v>
      </c>
      <c r="L128" s="98">
        <v>2569</v>
      </c>
      <c r="M128" s="98">
        <v>4123</v>
      </c>
      <c r="N128" s="98">
        <v>4010</v>
      </c>
      <c r="O128" s="98">
        <v>3514</v>
      </c>
      <c r="P128" s="383">
        <v>3532</v>
      </c>
      <c r="Q128" s="383">
        <v>3387</v>
      </c>
      <c r="R128" s="383">
        <v>2711</v>
      </c>
      <c r="S128" s="383">
        <v>4073</v>
      </c>
      <c r="T128" s="383">
        <v>3628</v>
      </c>
      <c r="V128" s="97" t="s">
        <v>60</v>
      </c>
      <c r="W128" s="383">
        <v>3194</v>
      </c>
      <c r="X128" s="383">
        <f>+'[30]ITCO (Ajustado)'!E37</f>
        <v>4799</v>
      </c>
    </row>
    <row r="129" spans="2:24" ht="16" thickBot="1">
      <c r="B129" s="97" t="s">
        <v>61</v>
      </c>
      <c r="C129" s="98">
        <v>3857</v>
      </c>
      <c r="D129" s="98">
        <v>4854</v>
      </c>
      <c r="E129" s="98">
        <v>8831</v>
      </c>
      <c r="F129" s="98">
        <v>6503</v>
      </c>
      <c r="G129" s="98">
        <v>7541</v>
      </c>
      <c r="H129" s="98">
        <v>5261</v>
      </c>
      <c r="I129" s="98">
        <v>8878</v>
      </c>
      <c r="J129" s="98">
        <v>6792</v>
      </c>
      <c r="K129" s="98">
        <v>8037</v>
      </c>
      <c r="L129" s="98">
        <v>6682</v>
      </c>
      <c r="M129" s="98">
        <v>9686</v>
      </c>
      <c r="N129" s="98">
        <v>8342</v>
      </c>
      <c r="O129" s="98">
        <v>16229</v>
      </c>
      <c r="P129" s="384" t="s">
        <v>872</v>
      </c>
      <c r="Q129" s="384">
        <v>16383</v>
      </c>
      <c r="R129" s="384">
        <v>10199</v>
      </c>
      <c r="S129" s="384">
        <v>17538</v>
      </c>
      <c r="T129" s="632">
        <v>14192</v>
      </c>
      <c r="V129" s="97" t="s">
        <v>61</v>
      </c>
      <c r="W129" s="632">
        <v>25565</v>
      </c>
      <c r="X129" s="632">
        <f>+'[30]ITCO (Ajustado)'!E38</f>
        <v>15362</v>
      </c>
    </row>
    <row r="130" spans="2:24" ht="16" thickBot="1">
      <c r="B130" s="97" t="s">
        <v>62</v>
      </c>
      <c r="C130" s="98">
        <v>0</v>
      </c>
      <c r="D130" s="98">
        <v>0</v>
      </c>
      <c r="E130" s="98">
        <v>0</v>
      </c>
      <c r="F130" s="98">
        <v>0</v>
      </c>
      <c r="G130" s="98">
        <v>0</v>
      </c>
      <c r="H130" s="98">
        <v>0</v>
      </c>
      <c r="I130" s="98">
        <v>0</v>
      </c>
      <c r="J130" s="98">
        <v>0</v>
      </c>
      <c r="K130" s="98">
        <v>0</v>
      </c>
      <c r="L130" s="98">
        <v>0</v>
      </c>
      <c r="M130" s="98">
        <v>0</v>
      </c>
      <c r="N130" s="98">
        <v>0</v>
      </c>
      <c r="O130" s="98">
        <v>0</v>
      </c>
      <c r="P130" s="384" t="s">
        <v>728</v>
      </c>
      <c r="Q130" s="384" t="s">
        <v>870</v>
      </c>
      <c r="R130" s="384" t="s">
        <v>870</v>
      </c>
      <c r="S130" s="384">
        <v>0</v>
      </c>
      <c r="T130" s="633">
        <v>0</v>
      </c>
      <c r="V130" s="97" t="s">
        <v>62</v>
      </c>
      <c r="W130" s="633"/>
      <c r="X130" s="633">
        <f>+'[30]ITCO (Ajustado)'!E39</f>
        <v>0</v>
      </c>
    </row>
    <row r="131" spans="2:24" ht="16" thickBot="1">
      <c r="B131" s="99" t="s">
        <v>63</v>
      </c>
      <c r="C131" s="100">
        <v>155114</v>
      </c>
      <c r="D131" s="100">
        <v>147484</v>
      </c>
      <c r="E131" s="100">
        <v>149108</v>
      </c>
      <c r="F131" s="100">
        <v>183332</v>
      </c>
      <c r="G131" s="100">
        <v>169001</v>
      </c>
      <c r="H131" s="100">
        <v>146334</v>
      </c>
      <c r="I131" s="100">
        <v>167962</v>
      </c>
      <c r="J131" s="100">
        <v>167656</v>
      </c>
      <c r="K131" s="100">
        <v>180068</v>
      </c>
      <c r="L131" s="100">
        <v>162779</v>
      </c>
      <c r="M131" s="100">
        <v>189372</v>
      </c>
      <c r="N131" s="100">
        <v>187827</v>
      </c>
      <c r="O131" s="100">
        <v>179287</v>
      </c>
      <c r="P131" s="385">
        <v>176126</v>
      </c>
      <c r="Q131" s="385">
        <v>174962</v>
      </c>
      <c r="R131" s="385">
        <v>189850</v>
      </c>
      <c r="S131" s="385">
        <v>210818</v>
      </c>
      <c r="T131" s="385">
        <v>207809</v>
      </c>
      <c r="V131" s="99" t="s">
        <v>63</v>
      </c>
      <c r="W131" s="385">
        <v>223948</v>
      </c>
      <c r="X131" s="385">
        <f>+'[30]ITCO (Ajustado)'!E40</f>
        <v>242515</v>
      </c>
    </row>
    <row r="132" spans="2:24" ht="16" thickBot="1">
      <c r="B132" s="95" t="s">
        <v>64</v>
      </c>
      <c r="C132" s="96"/>
      <c r="D132" s="96"/>
      <c r="E132" s="96"/>
      <c r="F132" s="96"/>
      <c r="G132" s="96"/>
      <c r="H132" s="96"/>
      <c r="I132" s="96"/>
      <c r="J132" s="96"/>
      <c r="K132" s="96"/>
      <c r="L132" s="96"/>
      <c r="M132" s="96"/>
      <c r="N132" s="96"/>
      <c r="O132" s="96"/>
      <c r="P132" s="381" t="s">
        <v>729</v>
      </c>
      <c r="Q132" s="381" t="s">
        <v>729</v>
      </c>
      <c r="R132" s="381" t="s">
        <v>729</v>
      </c>
      <c r="S132" s="381">
        <v>0</v>
      </c>
      <c r="T132" s="381"/>
      <c r="V132" s="95" t="s">
        <v>64</v>
      </c>
      <c r="W132" s="381"/>
      <c r="X132" s="381"/>
    </row>
    <row r="133" spans="2:24" ht="16" thickBot="1">
      <c r="B133" s="97" t="s">
        <v>65</v>
      </c>
      <c r="C133" s="98">
        <v>0</v>
      </c>
      <c r="D133" s="98">
        <v>0</v>
      </c>
      <c r="E133" s="98">
        <v>0</v>
      </c>
      <c r="F133" s="98">
        <v>4100</v>
      </c>
      <c r="G133" s="98">
        <v>0</v>
      </c>
      <c r="H133" s="98">
        <v>0</v>
      </c>
      <c r="I133" s="98">
        <v>0</v>
      </c>
      <c r="J133" s="98">
        <v>0</v>
      </c>
      <c r="K133" s="98">
        <v>0</v>
      </c>
      <c r="L133" s="98">
        <v>0</v>
      </c>
      <c r="M133" s="98">
        <v>0</v>
      </c>
      <c r="N133" s="98">
        <v>0</v>
      </c>
      <c r="O133" s="98">
        <v>0</v>
      </c>
      <c r="P133" s="386" t="s">
        <v>728</v>
      </c>
      <c r="Q133" s="386" t="s">
        <v>870</v>
      </c>
      <c r="R133" s="386" t="s">
        <v>729</v>
      </c>
      <c r="S133" s="386">
        <v>0</v>
      </c>
      <c r="T133" s="633">
        <v>0</v>
      </c>
      <c r="V133" s="97" t="s">
        <v>65</v>
      </c>
      <c r="W133" s="633">
        <v>0</v>
      </c>
      <c r="X133" s="633">
        <f>+'[30]ITCO (Ajustado)'!E42</f>
        <v>0</v>
      </c>
    </row>
    <row r="134" spans="2:24" ht="16" thickBot="1">
      <c r="B134" s="97" t="s">
        <v>58</v>
      </c>
      <c r="C134" s="98">
        <v>12703</v>
      </c>
      <c r="D134" s="98">
        <v>8145</v>
      </c>
      <c r="E134" s="98">
        <v>8834</v>
      </c>
      <c r="F134" s="98">
        <v>8901</v>
      </c>
      <c r="G134" s="98">
        <v>12927</v>
      </c>
      <c r="H134" s="98">
        <v>12138</v>
      </c>
      <c r="I134" s="98">
        <v>17314</v>
      </c>
      <c r="J134" s="98">
        <v>17776</v>
      </c>
      <c r="K134" s="98">
        <v>18126</v>
      </c>
      <c r="L134" s="98">
        <v>13711</v>
      </c>
      <c r="M134" s="98">
        <v>18066</v>
      </c>
      <c r="N134" s="98">
        <v>18557</v>
      </c>
      <c r="O134" s="98">
        <v>19417</v>
      </c>
      <c r="P134" s="383">
        <v>14997</v>
      </c>
      <c r="Q134" s="383">
        <v>16702</v>
      </c>
      <c r="R134" s="383">
        <v>20761</v>
      </c>
      <c r="S134" s="383">
        <v>17556</v>
      </c>
      <c r="T134" s="632">
        <v>17420</v>
      </c>
      <c r="V134" s="97" t="s">
        <v>58</v>
      </c>
      <c r="W134" s="632">
        <v>17354</v>
      </c>
      <c r="X134" s="632">
        <f>+'[30]ITCO (Ajustado)'!E43</f>
        <v>19917</v>
      </c>
    </row>
    <row r="135" spans="2:24" ht="16" thickBot="1">
      <c r="B135" s="97" t="s">
        <v>69</v>
      </c>
      <c r="C135" s="98">
        <v>42971</v>
      </c>
      <c r="D135" s="98">
        <v>44251</v>
      </c>
      <c r="E135" s="98">
        <v>44424</v>
      </c>
      <c r="F135" s="98">
        <v>44630</v>
      </c>
      <c r="G135" s="98">
        <v>43913</v>
      </c>
      <c r="H135" s="98">
        <v>43832</v>
      </c>
      <c r="I135" s="98">
        <v>44360</v>
      </c>
      <c r="J135" s="98">
        <v>45253</v>
      </c>
      <c r="K135" s="98">
        <v>45490</v>
      </c>
      <c r="L135" s="98">
        <v>46255</v>
      </c>
      <c r="M135" s="98">
        <v>46184</v>
      </c>
      <c r="N135" s="98">
        <v>46417</v>
      </c>
      <c r="O135" s="98">
        <v>47291</v>
      </c>
      <c r="P135" s="383">
        <v>51017</v>
      </c>
      <c r="Q135" s="383">
        <v>49476</v>
      </c>
      <c r="R135" s="383">
        <v>49779</v>
      </c>
      <c r="S135" s="383">
        <v>51393</v>
      </c>
      <c r="T135" s="632">
        <v>52373</v>
      </c>
      <c r="V135" s="97" t="s">
        <v>69</v>
      </c>
      <c r="W135" s="632">
        <v>53249</v>
      </c>
      <c r="X135" s="632">
        <f>+'[30]ITCO (Ajustado)'!E44</f>
        <v>53048</v>
      </c>
    </row>
    <row r="136" spans="2:24" ht="16" thickBot="1">
      <c r="B136" s="97" t="s">
        <v>121</v>
      </c>
      <c r="C136" s="98">
        <v>0</v>
      </c>
      <c r="D136" s="98">
        <v>0</v>
      </c>
      <c r="E136" s="98">
        <v>0</v>
      </c>
      <c r="F136" s="98">
        <v>0</v>
      </c>
      <c r="G136" s="98">
        <v>10</v>
      </c>
      <c r="H136" s="98">
        <v>0</v>
      </c>
      <c r="I136" s="98">
        <v>14</v>
      </c>
      <c r="J136" s="98">
        <v>21</v>
      </c>
      <c r="K136" s="98">
        <v>103</v>
      </c>
      <c r="L136" s="98">
        <v>0</v>
      </c>
      <c r="M136" s="98">
        <v>0</v>
      </c>
      <c r="N136" s="98">
        <v>0</v>
      </c>
      <c r="O136" s="98">
        <v>0</v>
      </c>
      <c r="P136" s="384" t="s">
        <v>728</v>
      </c>
      <c r="Q136" s="384" t="s">
        <v>729</v>
      </c>
      <c r="R136" s="384" t="s">
        <v>870</v>
      </c>
      <c r="S136" s="384">
        <v>0</v>
      </c>
      <c r="T136" s="634">
        <v>0</v>
      </c>
      <c r="V136" s="97" t="s">
        <v>121</v>
      </c>
      <c r="W136" s="634">
        <v>0</v>
      </c>
      <c r="X136" s="634">
        <f>+'[30]ITCO (Ajustado)'!E45</f>
        <v>0</v>
      </c>
    </row>
    <row r="137" spans="2:24" ht="16" thickBot="1">
      <c r="B137" s="97" t="s">
        <v>74</v>
      </c>
      <c r="C137" s="98">
        <v>24830</v>
      </c>
      <c r="D137" s="98">
        <v>28316</v>
      </c>
      <c r="E137" s="98">
        <v>28970</v>
      </c>
      <c r="F137" s="98">
        <v>29540</v>
      </c>
      <c r="G137" s="98">
        <v>29754</v>
      </c>
      <c r="H137" s="98">
        <v>25198</v>
      </c>
      <c r="I137" s="98">
        <v>25894</v>
      </c>
      <c r="J137" s="98">
        <v>26427</v>
      </c>
      <c r="K137" s="98">
        <v>27082</v>
      </c>
      <c r="L137" s="98">
        <v>25903</v>
      </c>
      <c r="M137" s="98">
        <v>26585</v>
      </c>
      <c r="N137" s="98">
        <v>27177</v>
      </c>
      <c r="O137" s="98">
        <v>25846</v>
      </c>
      <c r="P137" s="384" t="s">
        <v>873</v>
      </c>
      <c r="Q137" s="384">
        <v>25469</v>
      </c>
      <c r="R137" s="384">
        <v>25500</v>
      </c>
      <c r="S137" s="384">
        <v>29751</v>
      </c>
      <c r="T137" s="632">
        <v>1400</v>
      </c>
      <c r="V137" s="97" t="s">
        <v>74</v>
      </c>
      <c r="W137" s="632">
        <v>1448</v>
      </c>
      <c r="X137" s="632">
        <f>+'[30]ITCO (Ajustado)'!E46</f>
        <v>1488</v>
      </c>
    </row>
    <row r="138" spans="2:24" ht="16" thickBot="1">
      <c r="B138" s="97" t="s">
        <v>122</v>
      </c>
      <c r="C138" s="98">
        <v>0</v>
      </c>
      <c r="D138" s="98">
        <v>0</v>
      </c>
      <c r="E138" s="98">
        <v>0</v>
      </c>
      <c r="F138" s="98">
        <v>0</v>
      </c>
      <c r="G138" s="98">
        <v>0</v>
      </c>
      <c r="H138" s="98">
        <v>4100</v>
      </c>
      <c r="I138" s="98">
        <v>0</v>
      </c>
      <c r="J138" s="98">
        <v>0</v>
      </c>
      <c r="K138" s="98">
        <v>0</v>
      </c>
      <c r="L138" s="98">
        <v>4100</v>
      </c>
      <c r="M138" s="98">
        <v>647</v>
      </c>
      <c r="N138" s="98">
        <v>706</v>
      </c>
      <c r="O138" s="98">
        <v>0</v>
      </c>
      <c r="P138" s="384" t="s">
        <v>728</v>
      </c>
      <c r="Q138" s="384">
        <v>1477</v>
      </c>
      <c r="R138" s="384">
        <v>1078</v>
      </c>
      <c r="S138" s="384">
        <v>0</v>
      </c>
      <c r="T138" s="634">
        <v>0</v>
      </c>
      <c r="V138" s="97" t="s">
        <v>122</v>
      </c>
      <c r="W138" s="634">
        <v>0</v>
      </c>
      <c r="X138" s="634">
        <f>+'[30]ITCO (Ajustado)'!E47</f>
        <v>0</v>
      </c>
    </row>
    <row r="139" spans="2:24" ht="16" thickBot="1">
      <c r="B139" s="97" t="s">
        <v>61</v>
      </c>
      <c r="C139" s="98">
        <v>0</v>
      </c>
      <c r="D139" s="98">
        <v>0</v>
      </c>
      <c r="E139" s="98">
        <v>0</v>
      </c>
      <c r="F139" s="98">
        <v>0</v>
      </c>
      <c r="G139" s="98">
        <v>0</v>
      </c>
      <c r="H139" s="98">
        <v>0</v>
      </c>
      <c r="I139" s="98">
        <v>0</v>
      </c>
      <c r="J139" s="98">
        <v>0</v>
      </c>
      <c r="K139" s="98">
        <v>0</v>
      </c>
      <c r="L139" s="98">
        <v>0</v>
      </c>
      <c r="M139" s="98">
        <v>0</v>
      </c>
      <c r="N139" s="98">
        <v>0</v>
      </c>
      <c r="O139" s="98">
        <v>0</v>
      </c>
      <c r="P139" s="384" t="s">
        <v>728</v>
      </c>
      <c r="Q139" s="384" t="s">
        <v>729</v>
      </c>
      <c r="R139" s="384" t="s">
        <v>870</v>
      </c>
      <c r="S139" s="384">
        <v>0</v>
      </c>
      <c r="T139" s="634">
        <v>0</v>
      </c>
      <c r="V139" s="97" t="s">
        <v>61</v>
      </c>
      <c r="W139" s="634">
        <v>0</v>
      </c>
      <c r="X139" s="634">
        <f>+'[30]ITCO (Ajustado)'!E48</f>
        <v>0</v>
      </c>
    </row>
    <row r="140" spans="2:24" ht="16" thickBot="1">
      <c r="B140" s="97" t="s">
        <v>114</v>
      </c>
      <c r="C140" s="98">
        <v>0</v>
      </c>
      <c r="D140" s="98">
        <v>0</v>
      </c>
      <c r="E140" s="98">
        <v>0</v>
      </c>
      <c r="F140" s="98">
        <v>0</v>
      </c>
      <c r="G140" s="98">
        <v>0</v>
      </c>
      <c r="H140" s="98">
        <v>0</v>
      </c>
      <c r="I140" s="98">
        <v>0</v>
      </c>
      <c r="J140" s="98">
        <v>0</v>
      </c>
      <c r="K140" s="98">
        <v>0</v>
      </c>
      <c r="L140" s="98">
        <v>0</v>
      </c>
      <c r="M140" s="98">
        <v>0</v>
      </c>
      <c r="N140" s="98">
        <v>0</v>
      </c>
      <c r="O140" s="98">
        <v>0</v>
      </c>
      <c r="P140" s="384" t="s">
        <v>728</v>
      </c>
      <c r="Q140" s="384" t="s">
        <v>729</v>
      </c>
      <c r="R140" s="384" t="s">
        <v>870</v>
      </c>
      <c r="S140" s="384">
        <v>0</v>
      </c>
      <c r="T140" s="634">
        <v>0</v>
      </c>
      <c r="V140" s="97" t="s">
        <v>114</v>
      </c>
      <c r="W140" s="634">
        <v>0</v>
      </c>
      <c r="X140" s="634">
        <f>+'[30]ITCO (Ajustado)'!E49</f>
        <v>0</v>
      </c>
    </row>
    <row r="141" spans="2:24" ht="16" thickBot="1">
      <c r="B141" s="97" t="s">
        <v>70</v>
      </c>
      <c r="C141" s="98">
        <v>0</v>
      </c>
      <c r="D141" s="98">
        <v>0</v>
      </c>
      <c r="E141" s="98">
        <v>0</v>
      </c>
      <c r="F141" s="98">
        <v>0</v>
      </c>
      <c r="G141" s="98">
        <v>0</v>
      </c>
      <c r="H141" s="98">
        <v>0</v>
      </c>
      <c r="I141" s="98">
        <v>0</v>
      </c>
      <c r="J141" s="98">
        <v>0</v>
      </c>
      <c r="K141" s="98">
        <v>0</v>
      </c>
      <c r="L141" s="98">
        <v>0</v>
      </c>
      <c r="M141" s="98">
        <v>0</v>
      </c>
      <c r="N141" s="98">
        <v>0</v>
      </c>
      <c r="O141" s="98">
        <v>0</v>
      </c>
      <c r="P141" s="384" t="s">
        <v>728</v>
      </c>
      <c r="Q141" s="384" t="s">
        <v>729</v>
      </c>
      <c r="R141" s="384" t="s">
        <v>870</v>
      </c>
      <c r="S141" s="384">
        <v>0</v>
      </c>
      <c r="T141" s="634">
        <v>0</v>
      </c>
      <c r="V141" s="97" t="s">
        <v>70</v>
      </c>
      <c r="W141" s="634">
        <v>0</v>
      </c>
      <c r="X141" s="634">
        <f>+'[30]ITCO (Ajustado)'!E50</f>
        <v>0</v>
      </c>
    </row>
    <row r="142" spans="2:24" ht="16" thickBot="1">
      <c r="B142" s="97" t="s">
        <v>71</v>
      </c>
      <c r="C142" s="98">
        <v>0</v>
      </c>
      <c r="D142" s="98">
        <v>0</v>
      </c>
      <c r="E142" s="98">
        <v>0</v>
      </c>
      <c r="F142" s="98">
        <v>0</v>
      </c>
      <c r="G142" s="98">
        <v>0</v>
      </c>
      <c r="H142" s="98">
        <v>0</v>
      </c>
      <c r="I142" s="98">
        <v>0</v>
      </c>
      <c r="J142" s="98">
        <v>0</v>
      </c>
      <c r="K142" s="98">
        <v>0</v>
      </c>
      <c r="L142" s="98">
        <v>0</v>
      </c>
      <c r="M142" s="98">
        <v>0</v>
      </c>
      <c r="N142" s="98">
        <v>0</v>
      </c>
      <c r="O142" s="98">
        <v>0</v>
      </c>
      <c r="P142" s="384" t="s">
        <v>728</v>
      </c>
      <c r="Q142" s="384" t="s">
        <v>729</v>
      </c>
      <c r="R142" s="384" t="s">
        <v>870</v>
      </c>
      <c r="S142" s="384">
        <v>0</v>
      </c>
      <c r="T142" s="634">
        <v>0</v>
      </c>
      <c r="V142" s="97" t="s">
        <v>71</v>
      </c>
      <c r="W142" s="634">
        <v>0</v>
      </c>
      <c r="X142" s="634">
        <f>+'[30]ITCO (Ajustado)'!E51</f>
        <v>0</v>
      </c>
    </row>
    <row r="143" spans="2:24" ht="16" thickBot="1">
      <c r="B143" s="97" t="s">
        <v>75</v>
      </c>
      <c r="C143" s="98">
        <v>0</v>
      </c>
      <c r="D143" s="98">
        <v>0</v>
      </c>
      <c r="E143" s="98">
        <v>0</v>
      </c>
      <c r="F143" s="98">
        <v>0</v>
      </c>
      <c r="G143" s="98">
        <v>0</v>
      </c>
      <c r="H143" s="98">
        <v>0</v>
      </c>
      <c r="I143" s="98">
        <v>0</v>
      </c>
      <c r="J143" s="98">
        <v>0</v>
      </c>
      <c r="K143" s="98">
        <v>0</v>
      </c>
      <c r="L143" s="98">
        <v>0</v>
      </c>
      <c r="M143" s="98">
        <v>0</v>
      </c>
      <c r="N143" s="98">
        <v>0</v>
      </c>
      <c r="O143" s="98">
        <v>643</v>
      </c>
      <c r="P143" s="384" t="s">
        <v>874</v>
      </c>
      <c r="Q143" s="384">
        <v>483</v>
      </c>
      <c r="R143" s="384">
        <v>4151</v>
      </c>
      <c r="S143" s="384">
        <v>1184</v>
      </c>
      <c r="T143" s="632">
        <v>985</v>
      </c>
      <c r="V143" s="97" t="s">
        <v>75</v>
      </c>
      <c r="W143" s="632">
        <v>892</v>
      </c>
      <c r="X143" s="632">
        <f>+'[30]ITCO (Ajustado)'!E52</f>
        <v>808</v>
      </c>
    </row>
    <row r="144" spans="2:24" ht="16" thickBot="1">
      <c r="B144" s="97" t="s">
        <v>66</v>
      </c>
      <c r="C144" s="98">
        <v>0</v>
      </c>
      <c r="D144" s="98">
        <v>0</v>
      </c>
      <c r="E144" s="98">
        <v>0</v>
      </c>
      <c r="F144" s="98">
        <v>0</v>
      </c>
      <c r="G144" s="98">
        <v>0</v>
      </c>
      <c r="H144" s="98">
        <v>0</v>
      </c>
      <c r="I144" s="98">
        <v>0</v>
      </c>
      <c r="J144" s="98">
        <v>0</v>
      </c>
      <c r="K144" s="98">
        <v>0</v>
      </c>
      <c r="L144" s="98">
        <v>0</v>
      </c>
      <c r="M144" s="98">
        <v>0</v>
      </c>
      <c r="N144" s="98">
        <v>0</v>
      </c>
      <c r="O144" s="98">
        <v>0</v>
      </c>
      <c r="P144" s="384" t="s">
        <v>729</v>
      </c>
      <c r="Q144" s="384" t="s">
        <v>729</v>
      </c>
      <c r="R144" s="384" t="s">
        <v>870</v>
      </c>
      <c r="S144" s="384">
        <v>0</v>
      </c>
      <c r="T144" s="634">
        <v>0</v>
      </c>
      <c r="V144" s="97" t="s">
        <v>66</v>
      </c>
      <c r="W144" s="634"/>
      <c r="X144" s="634">
        <f>+'[30]ITCO (Ajustado)'!E53</f>
        <v>0</v>
      </c>
    </row>
    <row r="145" spans="2:24" ht="16" thickBot="1">
      <c r="B145" s="97" t="s">
        <v>62</v>
      </c>
      <c r="C145" s="98">
        <v>0</v>
      </c>
      <c r="D145" s="98">
        <v>0</v>
      </c>
      <c r="E145" s="98">
        <v>0</v>
      </c>
      <c r="F145" s="98">
        <v>0</v>
      </c>
      <c r="G145" s="98">
        <v>0</v>
      </c>
      <c r="H145" s="98">
        <v>0</v>
      </c>
      <c r="I145" s="98">
        <v>0</v>
      </c>
      <c r="J145" s="98">
        <v>0</v>
      </c>
      <c r="K145" s="98">
        <v>0</v>
      </c>
      <c r="L145" s="98">
        <v>0</v>
      </c>
      <c r="M145" s="98">
        <v>0</v>
      </c>
      <c r="N145" s="98">
        <v>0</v>
      </c>
      <c r="O145" s="98">
        <v>0</v>
      </c>
      <c r="P145" s="384" t="s">
        <v>729</v>
      </c>
      <c r="Q145" s="384" t="s">
        <v>729</v>
      </c>
      <c r="R145" s="384" t="s">
        <v>870</v>
      </c>
      <c r="S145" s="384">
        <v>0</v>
      </c>
      <c r="T145" s="634">
        <v>0</v>
      </c>
      <c r="V145" s="97" t="s">
        <v>62</v>
      </c>
      <c r="W145" s="634"/>
      <c r="X145" s="634">
        <f>+'[30]ITCO (Ajustado)'!E54</f>
        <v>0</v>
      </c>
    </row>
    <row r="146" spans="2:24" ht="16" thickBot="1">
      <c r="B146" s="95" t="s">
        <v>77</v>
      </c>
      <c r="C146" s="101">
        <v>80504</v>
      </c>
      <c r="D146" s="101">
        <v>80712</v>
      </c>
      <c r="E146" s="101">
        <v>82228</v>
      </c>
      <c r="F146" s="101">
        <v>87171</v>
      </c>
      <c r="G146" s="101">
        <v>86604</v>
      </c>
      <c r="H146" s="101">
        <v>85268</v>
      </c>
      <c r="I146" s="101">
        <v>87582</v>
      </c>
      <c r="J146" s="101">
        <v>89477</v>
      </c>
      <c r="K146" s="101">
        <v>90801</v>
      </c>
      <c r="L146" s="101">
        <v>89969</v>
      </c>
      <c r="M146" s="101">
        <v>91482</v>
      </c>
      <c r="N146" s="101">
        <v>92857</v>
      </c>
      <c r="O146" s="101">
        <v>93197</v>
      </c>
      <c r="P146" s="387">
        <v>96124</v>
      </c>
      <c r="Q146" s="387">
        <v>93607</v>
      </c>
      <c r="R146" s="387">
        <v>101269</v>
      </c>
      <c r="S146" s="387">
        <v>99884</v>
      </c>
      <c r="T146" s="387">
        <v>72178</v>
      </c>
      <c r="V146" s="95" t="s">
        <v>77</v>
      </c>
      <c r="W146" s="387">
        <v>72943</v>
      </c>
      <c r="X146" s="387">
        <f>+'[30]ITCO (Ajustado)'!E55</f>
        <v>75261</v>
      </c>
    </row>
    <row r="147" spans="2:24" ht="16" thickBot="1">
      <c r="B147" s="103" t="s">
        <v>78</v>
      </c>
      <c r="C147" s="104">
        <v>235618</v>
      </c>
      <c r="D147" s="104">
        <v>228196</v>
      </c>
      <c r="E147" s="104">
        <v>231336</v>
      </c>
      <c r="F147" s="104">
        <v>270503</v>
      </c>
      <c r="G147" s="104">
        <v>255605</v>
      </c>
      <c r="H147" s="104">
        <v>231602</v>
      </c>
      <c r="I147" s="104">
        <v>255544</v>
      </c>
      <c r="J147" s="104">
        <v>257133</v>
      </c>
      <c r="K147" s="104">
        <v>270869</v>
      </c>
      <c r="L147" s="104">
        <v>252748</v>
      </c>
      <c r="M147" s="104">
        <v>280854</v>
      </c>
      <c r="N147" s="104">
        <v>280684</v>
      </c>
      <c r="O147" s="104">
        <v>272484</v>
      </c>
      <c r="P147" s="397">
        <v>272250</v>
      </c>
      <c r="Q147" s="415">
        <v>268569</v>
      </c>
      <c r="R147" s="415">
        <v>291119</v>
      </c>
      <c r="S147" s="415">
        <v>310702</v>
      </c>
      <c r="T147" s="415">
        <v>279987</v>
      </c>
      <c r="V147" s="103" t="s">
        <v>78</v>
      </c>
      <c r="W147" s="415">
        <v>296891</v>
      </c>
      <c r="X147" s="415">
        <f>+'[30]ITCO (Ajustado)'!E56</f>
        <v>317776</v>
      </c>
    </row>
    <row r="148" spans="2:24" ht="16" thickBot="1">
      <c r="B148" s="106"/>
      <c r="C148" s="107"/>
      <c r="D148" s="107"/>
      <c r="E148" s="107"/>
      <c r="F148" s="107"/>
      <c r="G148" s="107"/>
      <c r="H148" s="107"/>
      <c r="I148" s="107"/>
      <c r="J148" s="107"/>
      <c r="K148" s="107"/>
      <c r="L148" s="107"/>
      <c r="M148" s="107"/>
      <c r="N148" s="107"/>
      <c r="O148" s="107"/>
      <c r="Q148" s="388" t="s">
        <v>729</v>
      </c>
      <c r="R148" s="388" t="s">
        <v>729</v>
      </c>
      <c r="S148" s="388">
        <v>0</v>
      </c>
      <c r="V148" s="106"/>
    </row>
    <row r="149" spans="2:24" ht="16" thickBot="1">
      <c r="B149" s="93" t="s">
        <v>79</v>
      </c>
      <c r="C149" s="108"/>
      <c r="D149" s="108"/>
      <c r="E149" s="108"/>
      <c r="F149" s="108"/>
      <c r="G149" s="108"/>
      <c r="H149" s="108"/>
      <c r="I149" s="108"/>
      <c r="J149" s="108"/>
      <c r="K149" s="108"/>
      <c r="L149" s="108"/>
      <c r="M149" s="108"/>
      <c r="N149" s="108"/>
      <c r="O149" s="108"/>
      <c r="P149" s="389" t="s">
        <v>729</v>
      </c>
      <c r="Q149" s="389" t="s">
        <v>729</v>
      </c>
      <c r="R149" s="389" t="s">
        <v>729</v>
      </c>
      <c r="S149" s="389">
        <v>0</v>
      </c>
      <c r="T149" s="389"/>
      <c r="V149" s="355" t="s">
        <v>79</v>
      </c>
      <c r="W149" s="389"/>
      <c r="X149" s="389"/>
    </row>
    <row r="150" spans="2:24" ht="16" thickBot="1">
      <c r="B150" s="95" t="s">
        <v>80</v>
      </c>
      <c r="C150" s="109"/>
      <c r="D150" s="109"/>
      <c r="E150" s="109"/>
      <c r="F150" s="109"/>
      <c r="G150" s="109"/>
      <c r="H150" s="109"/>
      <c r="I150" s="109"/>
      <c r="J150" s="109"/>
      <c r="K150" s="109"/>
      <c r="L150" s="109"/>
      <c r="M150" s="109"/>
      <c r="N150" s="109"/>
      <c r="O150" s="109"/>
      <c r="P150" s="390" t="s">
        <v>729</v>
      </c>
      <c r="Q150" s="390" t="s">
        <v>729</v>
      </c>
      <c r="R150" s="390" t="s">
        <v>729</v>
      </c>
      <c r="S150" s="390">
        <v>0</v>
      </c>
      <c r="T150" s="390"/>
      <c r="V150" s="95" t="s">
        <v>80</v>
      </c>
      <c r="W150" s="390"/>
      <c r="X150" s="390"/>
    </row>
    <row r="151" spans="2:24" ht="16" thickBot="1">
      <c r="B151" s="97" t="s">
        <v>82</v>
      </c>
      <c r="C151" s="98">
        <v>31679</v>
      </c>
      <c r="D151" s="98">
        <v>20442</v>
      </c>
      <c r="E151" s="98">
        <v>23518</v>
      </c>
      <c r="F151" s="98">
        <v>25769</v>
      </c>
      <c r="G151" s="98">
        <v>21703</v>
      </c>
      <c r="H151" s="98">
        <v>21030</v>
      </c>
      <c r="I151" s="98">
        <v>46399</v>
      </c>
      <c r="J151" s="98">
        <v>26194</v>
      </c>
      <c r="K151" s="98">
        <v>27597</v>
      </c>
      <c r="L151" s="98">
        <v>22333</v>
      </c>
      <c r="M151" s="98">
        <v>53624</v>
      </c>
      <c r="N151" s="98">
        <v>20513</v>
      </c>
      <c r="O151" s="98">
        <v>29850</v>
      </c>
      <c r="P151" s="391">
        <v>28093</v>
      </c>
      <c r="Q151" s="391">
        <v>49963</v>
      </c>
      <c r="R151" s="391">
        <v>28721</v>
      </c>
      <c r="S151" s="391">
        <v>30894</v>
      </c>
      <c r="T151" s="632">
        <v>29466</v>
      </c>
      <c r="V151" s="97" t="s">
        <v>82</v>
      </c>
      <c r="W151" s="632">
        <v>96477</v>
      </c>
      <c r="X151" s="632">
        <f>+'[30]ITCO (Ajustado)'!E60</f>
        <v>91468</v>
      </c>
    </row>
    <row r="152" spans="2:24" ht="16" thickBot="1">
      <c r="B152" s="97" t="s">
        <v>123</v>
      </c>
      <c r="C152" s="98">
        <v>38636</v>
      </c>
      <c r="D152" s="98">
        <v>23373</v>
      </c>
      <c r="E152" s="98">
        <v>39363</v>
      </c>
      <c r="F152" s="98">
        <v>51104</v>
      </c>
      <c r="G152" s="98">
        <v>19640</v>
      </c>
      <c r="H152" s="98">
        <v>10505</v>
      </c>
      <c r="I152" s="98">
        <v>29145</v>
      </c>
      <c r="J152" s="98">
        <v>29846</v>
      </c>
      <c r="K152" s="98">
        <v>21967</v>
      </c>
      <c r="L152" s="98">
        <v>14796</v>
      </c>
      <c r="M152" s="98">
        <v>34619</v>
      </c>
      <c r="N152" s="98">
        <v>45533</v>
      </c>
      <c r="O152" s="98">
        <v>6922</v>
      </c>
      <c r="P152" s="391">
        <v>13177</v>
      </c>
      <c r="Q152" s="391">
        <v>6913</v>
      </c>
      <c r="R152" s="391">
        <v>34539</v>
      </c>
      <c r="S152" s="391">
        <v>20268</v>
      </c>
      <c r="T152" s="632">
        <v>23085</v>
      </c>
      <c r="V152" s="97" t="s">
        <v>123</v>
      </c>
      <c r="W152" s="632">
        <v>0</v>
      </c>
      <c r="X152" s="632">
        <f>+'[30]ITCO (Ajustado)'!E61</f>
        <v>0</v>
      </c>
    </row>
    <row r="153" spans="2:24" ht="16" thickBot="1">
      <c r="B153" s="97" t="s">
        <v>84</v>
      </c>
      <c r="C153" s="98">
        <v>13087</v>
      </c>
      <c r="D153" s="98">
        <v>15442</v>
      </c>
      <c r="E153" s="98">
        <v>13390</v>
      </c>
      <c r="F153" s="98">
        <v>14427</v>
      </c>
      <c r="G153" s="98">
        <v>17419</v>
      </c>
      <c r="H153" s="98">
        <v>13487</v>
      </c>
      <c r="I153" s="98">
        <v>12475</v>
      </c>
      <c r="J153" s="98">
        <v>11418</v>
      </c>
      <c r="K153" s="98">
        <v>17796</v>
      </c>
      <c r="L153" s="98">
        <v>14319</v>
      </c>
      <c r="M153" s="98">
        <v>13724</v>
      </c>
      <c r="N153" s="98">
        <v>13403</v>
      </c>
      <c r="O153" s="98">
        <v>20451</v>
      </c>
      <c r="P153" s="391">
        <v>16452</v>
      </c>
      <c r="Q153" s="391">
        <v>15289</v>
      </c>
      <c r="R153" s="391">
        <v>26311</v>
      </c>
      <c r="S153" s="391">
        <v>21779</v>
      </c>
      <c r="T153" s="632">
        <v>16634</v>
      </c>
      <c r="V153" s="97" t="s">
        <v>84</v>
      </c>
      <c r="W153" s="632">
        <v>16385</v>
      </c>
      <c r="X153" s="632">
        <f>+'[30]ITCO (Ajustado)'!E62</f>
        <v>15635</v>
      </c>
    </row>
    <row r="154" spans="2:24" ht="16" thickBot="1">
      <c r="B154" s="97" t="s">
        <v>59</v>
      </c>
      <c r="C154" s="98">
        <v>3984</v>
      </c>
      <c r="D154" s="98">
        <v>9715</v>
      </c>
      <c r="E154" s="98">
        <v>10498</v>
      </c>
      <c r="F154" s="98">
        <v>18237</v>
      </c>
      <c r="G154" s="98">
        <v>28810</v>
      </c>
      <c r="H154" s="98">
        <v>17153</v>
      </c>
      <c r="I154" s="98">
        <v>14144</v>
      </c>
      <c r="J154" s="98">
        <v>20369</v>
      </c>
      <c r="K154" s="98">
        <v>26364</v>
      </c>
      <c r="L154" s="98">
        <v>15482</v>
      </c>
      <c r="M154" s="98">
        <v>13211</v>
      </c>
      <c r="N154" s="98">
        <v>22241</v>
      </c>
      <c r="O154" s="98">
        <v>27678</v>
      </c>
      <c r="P154" s="391">
        <v>23501</v>
      </c>
      <c r="Q154" s="391">
        <v>22811</v>
      </c>
      <c r="R154" s="391">
        <v>22177</v>
      </c>
      <c r="S154" s="391">
        <v>28885</v>
      </c>
      <c r="T154" s="632">
        <v>24142</v>
      </c>
      <c r="V154" s="97" t="s">
        <v>59</v>
      </c>
      <c r="W154" s="632">
        <v>20445</v>
      </c>
      <c r="X154" s="632">
        <f>+'[30]ITCO (Ajustado)'!E63</f>
        <v>25481</v>
      </c>
    </row>
    <row r="155" spans="2:24" ht="16" thickBot="1">
      <c r="B155" s="97" t="s">
        <v>85</v>
      </c>
      <c r="C155" s="98">
        <v>135</v>
      </c>
      <c r="D155" s="98">
        <v>0</v>
      </c>
      <c r="E155" s="98">
        <v>0</v>
      </c>
      <c r="F155" s="98">
        <v>0</v>
      </c>
      <c r="G155" s="98">
        <v>0</v>
      </c>
      <c r="H155" s="98">
        <v>0</v>
      </c>
      <c r="I155" s="98">
        <v>26</v>
      </c>
      <c r="J155" s="98">
        <v>26</v>
      </c>
      <c r="K155" s="98">
        <v>0</v>
      </c>
      <c r="L155" s="98">
        <v>0</v>
      </c>
      <c r="M155" s="98">
        <v>0</v>
      </c>
      <c r="N155" s="98">
        <v>0</v>
      </c>
      <c r="O155" s="98">
        <v>0</v>
      </c>
      <c r="P155" s="391" t="s">
        <v>728</v>
      </c>
      <c r="Q155" s="391" t="s">
        <v>870</v>
      </c>
      <c r="R155" s="391" t="s">
        <v>870</v>
      </c>
      <c r="S155" s="391">
        <v>8</v>
      </c>
      <c r="T155" s="391" t="s">
        <v>870</v>
      </c>
      <c r="V155" s="97" t="s">
        <v>85</v>
      </c>
      <c r="W155" s="391">
        <v>0</v>
      </c>
      <c r="X155" s="391">
        <f>+'[30]ITCO (Ajustado)'!E64</f>
        <v>0</v>
      </c>
    </row>
    <row r="156" spans="2:24" ht="16" thickBot="1">
      <c r="B156" s="97" t="s">
        <v>86</v>
      </c>
      <c r="C156" s="98">
        <v>2208</v>
      </c>
      <c r="D156" s="98">
        <v>2503</v>
      </c>
      <c r="E156" s="98">
        <v>367</v>
      </c>
      <c r="F156" s="98">
        <v>6732</v>
      </c>
      <c r="G156" s="98">
        <v>4814</v>
      </c>
      <c r="H156" s="98">
        <v>2558</v>
      </c>
      <c r="I156" s="98">
        <v>225</v>
      </c>
      <c r="J156" s="98">
        <v>7139</v>
      </c>
      <c r="K156" s="98">
        <v>4705</v>
      </c>
      <c r="L156" s="98">
        <v>2616</v>
      </c>
      <c r="M156" s="98">
        <v>647</v>
      </c>
      <c r="N156" s="98">
        <v>7051</v>
      </c>
      <c r="O156" s="98">
        <v>4752</v>
      </c>
      <c r="P156" s="391">
        <v>2431</v>
      </c>
      <c r="Q156" s="391">
        <v>147</v>
      </c>
      <c r="R156" s="391">
        <v>6641</v>
      </c>
      <c r="S156" s="391">
        <v>6823</v>
      </c>
      <c r="T156" s="632">
        <v>2202</v>
      </c>
      <c r="V156" s="97" t="s">
        <v>86</v>
      </c>
      <c r="W156" s="632">
        <v>149</v>
      </c>
      <c r="X156" s="632">
        <f>+'[30]ITCO (Ajustado)'!E65</f>
        <v>8225</v>
      </c>
    </row>
    <row r="157" spans="2:24" ht="16" thickBot="1">
      <c r="B157" s="97" t="s">
        <v>81</v>
      </c>
      <c r="C157" s="98">
        <v>0</v>
      </c>
      <c r="D157" s="98">
        <v>0</v>
      </c>
      <c r="E157" s="98">
        <v>0</v>
      </c>
      <c r="F157" s="98">
        <v>0</v>
      </c>
      <c r="G157" s="98">
        <v>0</v>
      </c>
      <c r="H157" s="98">
        <v>0</v>
      </c>
      <c r="I157" s="98">
        <v>0</v>
      </c>
      <c r="J157" s="98">
        <v>0</v>
      </c>
      <c r="K157" s="98">
        <v>0</v>
      </c>
      <c r="L157" s="98">
        <v>0</v>
      </c>
      <c r="M157" s="98">
        <v>0</v>
      </c>
      <c r="N157" s="98">
        <v>0</v>
      </c>
      <c r="O157" s="98">
        <v>0</v>
      </c>
      <c r="P157" s="391" t="s">
        <v>728</v>
      </c>
      <c r="Q157" s="391" t="s">
        <v>870</v>
      </c>
      <c r="R157" s="391" t="s">
        <v>870</v>
      </c>
      <c r="S157" s="391" t="s">
        <v>870</v>
      </c>
      <c r="T157" s="391" t="s">
        <v>870</v>
      </c>
      <c r="V157" s="97" t="s">
        <v>81</v>
      </c>
      <c r="W157" s="391">
        <v>0</v>
      </c>
      <c r="X157" s="391">
        <f>+'[30]ITCO (Ajustado)'!E66</f>
        <v>0</v>
      </c>
    </row>
    <row r="158" spans="2:24" ht="16" thickBot="1">
      <c r="B158" s="97" t="s">
        <v>115</v>
      </c>
      <c r="C158" s="98">
        <v>0</v>
      </c>
      <c r="D158" s="98">
        <v>0</v>
      </c>
      <c r="E158" s="98">
        <v>0</v>
      </c>
      <c r="F158" s="98">
        <v>0</v>
      </c>
      <c r="G158" s="98">
        <v>0</v>
      </c>
      <c r="H158" s="98">
        <v>0</v>
      </c>
      <c r="I158" s="98">
        <v>0</v>
      </c>
      <c r="J158" s="98">
        <v>0</v>
      </c>
      <c r="K158" s="98">
        <v>0</v>
      </c>
      <c r="L158" s="98">
        <v>0</v>
      </c>
      <c r="M158" s="98">
        <v>0</v>
      </c>
      <c r="N158" s="98">
        <v>0</v>
      </c>
      <c r="O158" s="98">
        <v>0</v>
      </c>
      <c r="P158" s="391" t="s">
        <v>728</v>
      </c>
      <c r="Q158" s="391" t="s">
        <v>870</v>
      </c>
      <c r="R158" s="391" t="s">
        <v>870</v>
      </c>
      <c r="S158" s="391" t="s">
        <v>870</v>
      </c>
      <c r="T158" s="391" t="s">
        <v>870</v>
      </c>
      <c r="V158" s="97" t="s">
        <v>115</v>
      </c>
      <c r="W158" s="391">
        <v>0</v>
      </c>
      <c r="X158" s="391">
        <f>+'[30]ITCO (Ajustado)'!E67</f>
        <v>0</v>
      </c>
    </row>
    <row r="159" spans="2:24" ht="15.5" thickBot="1">
      <c r="B159" s="95" t="s">
        <v>88</v>
      </c>
      <c r="C159" s="101">
        <v>89729</v>
      </c>
      <c r="D159" s="101">
        <v>71475</v>
      </c>
      <c r="E159" s="101">
        <v>87136</v>
      </c>
      <c r="F159" s="101">
        <v>116269</v>
      </c>
      <c r="G159" s="101">
        <v>92386</v>
      </c>
      <c r="H159" s="101">
        <v>64733</v>
      </c>
      <c r="I159" s="101">
        <v>102414</v>
      </c>
      <c r="J159" s="101">
        <v>94992</v>
      </c>
      <c r="K159" s="101">
        <v>98429</v>
      </c>
      <c r="L159" s="101">
        <v>69546</v>
      </c>
      <c r="M159" s="101">
        <v>115825</v>
      </c>
      <c r="N159" s="101">
        <v>108741</v>
      </c>
      <c r="O159" s="101">
        <v>89653</v>
      </c>
      <c r="P159" s="101">
        <v>83654</v>
      </c>
      <c r="Q159" s="101">
        <v>95123</v>
      </c>
      <c r="R159" s="101">
        <v>118388</v>
      </c>
      <c r="S159" s="101">
        <v>108657</v>
      </c>
      <c r="T159" s="101">
        <v>95529</v>
      </c>
      <c r="V159" s="95" t="s">
        <v>88</v>
      </c>
      <c r="W159" s="101">
        <v>133456</v>
      </c>
      <c r="X159" s="101">
        <f>+'[30]ITCO (Ajustado)'!E68</f>
        <v>140809</v>
      </c>
    </row>
    <row r="160" spans="2:24" ht="15.5" thickBot="1">
      <c r="B160" s="111" t="s">
        <v>89</v>
      </c>
      <c r="C160" s="112"/>
      <c r="D160" s="112"/>
      <c r="E160" s="112"/>
      <c r="F160" s="112"/>
      <c r="G160" s="112"/>
      <c r="H160" s="112"/>
      <c r="I160" s="112"/>
      <c r="J160" s="112"/>
      <c r="K160" s="112"/>
      <c r="L160" s="112"/>
      <c r="M160" s="112"/>
      <c r="N160" s="112"/>
      <c r="O160" s="112"/>
      <c r="P160" s="112" t="s">
        <v>729</v>
      </c>
      <c r="Q160" s="112" t="s">
        <v>729</v>
      </c>
      <c r="R160" s="112" t="s">
        <v>729</v>
      </c>
      <c r="S160" s="112">
        <v>0</v>
      </c>
      <c r="T160" s="112"/>
      <c r="V160" s="111" t="s">
        <v>89</v>
      </c>
      <c r="W160" s="112"/>
      <c r="X160" s="112"/>
    </row>
    <row r="161" spans="2:24" ht="16" thickBot="1">
      <c r="B161" s="97" t="s">
        <v>82</v>
      </c>
      <c r="C161" s="98">
        <v>0</v>
      </c>
      <c r="D161" s="98">
        <v>0</v>
      </c>
      <c r="E161" s="98">
        <v>1</v>
      </c>
      <c r="F161" s="98">
        <v>0</v>
      </c>
      <c r="G161" s="98">
        <v>0</v>
      </c>
      <c r="H161" s="98">
        <v>0</v>
      </c>
      <c r="I161" s="98">
        <v>0</v>
      </c>
      <c r="J161" s="98">
        <v>0</v>
      </c>
      <c r="K161" s="98">
        <v>0</v>
      </c>
      <c r="L161" s="98">
        <v>0</v>
      </c>
      <c r="M161" s="98">
        <v>646</v>
      </c>
      <c r="N161" s="98">
        <v>390</v>
      </c>
      <c r="O161" s="98">
        <v>327</v>
      </c>
      <c r="P161" s="391" t="s">
        <v>728</v>
      </c>
      <c r="Q161" s="391" t="s">
        <v>870</v>
      </c>
      <c r="R161" s="391" t="s">
        <v>870</v>
      </c>
      <c r="S161" s="391">
        <v>532</v>
      </c>
      <c r="T161" s="632">
        <v>605</v>
      </c>
      <c r="V161" s="97" t="s">
        <v>82</v>
      </c>
      <c r="W161" s="632">
        <v>11647</v>
      </c>
      <c r="X161" s="632">
        <f>+'[30]ITCO (Ajustado)'!E70</f>
        <v>11616</v>
      </c>
    </row>
    <row r="162" spans="2:24" ht="16" thickBot="1">
      <c r="B162" s="97" t="s">
        <v>123</v>
      </c>
      <c r="C162" s="98">
        <v>5551</v>
      </c>
      <c r="D162" s="98">
        <v>6942</v>
      </c>
      <c r="E162" s="98">
        <v>6960</v>
      </c>
      <c r="F162" s="98">
        <v>7140</v>
      </c>
      <c r="G162" s="98">
        <v>7364</v>
      </c>
      <c r="H162" s="98">
        <v>7364</v>
      </c>
      <c r="I162" s="98">
        <v>7775</v>
      </c>
      <c r="J162" s="98">
        <v>7775</v>
      </c>
      <c r="K162" s="98">
        <v>7775</v>
      </c>
      <c r="L162" s="98">
        <v>7906</v>
      </c>
      <c r="M162" s="98">
        <v>7906</v>
      </c>
      <c r="N162" s="98">
        <v>8213</v>
      </c>
      <c r="O162" s="98">
        <v>8538</v>
      </c>
      <c r="P162" s="391">
        <v>8556</v>
      </c>
      <c r="Q162" s="391">
        <v>8556</v>
      </c>
      <c r="R162" s="391">
        <v>8556</v>
      </c>
      <c r="S162" s="391">
        <v>9988</v>
      </c>
      <c r="T162" s="632">
        <v>11083</v>
      </c>
      <c r="V162" s="97" t="s">
        <v>123</v>
      </c>
      <c r="W162" s="632">
        <v>0</v>
      </c>
      <c r="X162" s="632">
        <f>+'[30]ITCO (Ajustado)'!E71</f>
        <v>0</v>
      </c>
    </row>
    <row r="163" spans="2:24" ht="16" thickBot="1">
      <c r="B163" s="97" t="s">
        <v>84</v>
      </c>
      <c r="C163" s="98">
        <v>63512</v>
      </c>
      <c r="D163" s="98">
        <v>70741</v>
      </c>
      <c r="E163" s="98">
        <v>73476</v>
      </c>
      <c r="F163" s="98">
        <v>74769</v>
      </c>
      <c r="G163" s="98">
        <v>76780</v>
      </c>
      <c r="H163" s="98">
        <v>75296</v>
      </c>
      <c r="I163" s="98">
        <v>77406</v>
      </c>
      <c r="J163" s="98">
        <v>79515</v>
      </c>
      <c r="K163" s="98">
        <v>81623</v>
      </c>
      <c r="L163" s="98">
        <v>82959</v>
      </c>
      <c r="M163" s="98">
        <v>85214</v>
      </c>
      <c r="N163" s="98">
        <v>87469</v>
      </c>
      <c r="O163" s="98">
        <v>89721</v>
      </c>
      <c r="P163" s="391" t="s">
        <v>875</v>
      </c>
      <c r="Q163" s="391">
        <v>94802</v>
      </c>
      <c r="R163" s="391">
        <v>85190</v>
      </c>
      <c r="S163" s="391">
        <v>98829</v>
      </c>
      <c r="T163" s="632">
        <v>79380</v>
      </c>
      <c r="V163" s="97" t="s">
        <v>84</v>
      </c>
      <c r="W163" s="632">
        <v>81382</v>
      </c>
      <c r="X163" s="632">
        <f>+'[30]ITCO (Ajustado)'!E72</f>
        <v>83087</v>
      </c>
    </row>
    <row r="164" spans="2:24" ht="16" thickBot="1">
      <c r="B164" s="97" t="s">
        <v>81</v>
      </c>
      <c r="C164" s="98">
        <v>0</v>
      </c>
      <c r="D164" s="98">
        <v>0</v>
      </c>
      <c r="E164" s="98">
        <v>0</v>
      </c>
      <c r="F164" s="98">
        <v>0</v>
      </c>
      <c r="G164" s="98">
        <v>0</v>
      </c>
      <c r="H164" s="98">
        <v>0</v>
      </c>
      <c r="I164" s="98">
        <v>0</v>
      </c>
      <c r="J164" s="98">
        <v>0</v>
      </c>
      <c r="K164" s="98">
        <v>0</v>
      </c>
      <c r="L164" s="98">
        <v>0</v>
      </c>
      <c r="M164" s="98">
        <v>0</v>
      </c>
      <c r="N164" s="98">
        <v>0</v>
      </c>
      <c r="O164" s="98">
        <v>0</v>
      </c>
      <c r="P164" s="391" t="s">
        <v>728</v>
      </c>
      <c r="Q164" s="391" t="s">
        <v>870</v>
      </c>
      <c r="R164" s="391" t="s">
        <v>870</v>
      </c>
      <c r="S164" s="391" t="s">
        <v>870</v>
      </c>
      <c r="T164" s="391" t="s">
        <v>870</v>
      </c>
      <c r="V164" s="97" t="s">
        <v>81</v>
      </c>
      <c r="W164" s="391">
        <v>0</v>
      </c>
      <c r="X164" s="391">
        <f>+'[30]ITCO (Ajustado)'!E73</f>
        <v>0</v>
      </c>
    </row>
    <row r="165" spans="2:24" ht="16" thickBot="1">
      <c r="B165" s="97" t="s">
        <v>90</v>
      </c>
      <c r="C165" s="98">
        <v>0</v>
      </c>
      <c r="D165" s="98">
        <v>0</v>
      </c>
      <c r="E165" s="98">
        <v>0</v>
      </c>
      <c r="F165" s="98">
        <v>0</v>
      </c>
      <c r="G165" s="98">
        <v>0</v>
      </c>
      <c r="H165" s="98">
        <v>0</v>
      </c>
      <c r="I165" s="98">
        <v>0</v>
      </c>
      <c r="J165" s="98">
        <v>0</v>
      </c>
      <c r="K165" s="98">
        <v>0</v>
      </c>
      <c r="L165" s="98">
        <v>0</v>
      </c>
      <c r="M165" s="98">
        <v>0</v>
      </c>
      <c r="N165" s="98">
        <v>0</v>
      </c>
      <c r="O165" s="98">
        <v>0</v>
      </c>
      <c r="P165" s="391" t="s">
        <v>728</v>
      </c>
      <c r="Q165" s="391" t="s">
        <v>870</v>
      </c>
      <c r="R165" s="391" t="s">
        <v>870</v>
      </c>
      <c r="S165" s="391" t="s">
        <v>870</v>
      </c>
      <c r="T165" s="391" t="s">
        <v>870</v>
      </c>
      <c r="V165" s="97" t="s">
        <v>90</v>
      </c>
      <c r="W165" s="391">
        <v>0</v>
      </c>
      <c r="X165" s="391">
        <f>+'[30]ITCO (Ajustado)'!E74</f>
        <v>0</v>
      </c>
    </row>
    <row r="166" spans="2:24" ht="16" thickBot="1">
      <c r="B166" s="97" t="s">
        <v>85</v>
      </c>
      <c r="C166" s="98">
        <v>0</v>
      </c>
      <c r="D166" s="98">
        <v>0</v>
      </c>
      <c r="E166" s="98">
        <v>0</v>
      </c>
      <c r="F166" s="98">
        <v>0</v>
      </c>
      <c r="G166" s="98">
        <v>0</v>
      </c>
      <c r="H166" s="98">
        <v>0</v>
      </c>
      <c r="I166" s="98">
        <v>0</v>
      </c>
      <c r="J166" s="98">
        <v>0</v>
      </c>
      <c r="K166" s="98">
        <v>0</v>
      </c>
      <c r="L166" s="98">
        <v>0</v>
      </c>
      <c r="M166" s="98">
        <v>0</v>
      </c>
      <c r="N166" s="98">
        <v>0</v>
      </c>
      <c r="O166" s="98">
        <v>0</v>
      </c>
      <c r="P166" s="391" t="s">
        <v>728</v>
      </c>
      <c r="Q166" s="391" t="s">
        <v>870</v>
      </c>
      <c r="R166" s="391" t="s">
        <v>870</v>
      </c>
      <c r="S166" s="391" t="s">
        <v>870</v>
      </c>
      <c r="T166" s="632">
        <v>356</v>
      </c>
      <c r="V166" s="97" t="s">
        <v>85</v>
      </c>
      <c r="W166" s="632">
        <v>377</v>
      </c>
      <c r="X166" s="632">
        <f>+'[30]ITCO (Ajustado)'!E75</f>
        <v>377</v>
      </c>
    </row>
    <row r="167" spans="2:24" ht="16" thickBot="1">
      <c r="B167" s="97" t="s">
        <v>86</v>
      </c>
      <c r="C167" s="98">
        <v>0</v>
      </c>
      <c r="D167" s="98">
        <v>0</v>
      </c>
      <c r="E167" s="98">
        <v>0</v>
      </c>
      <c r="F167" s="98">
        <v>0</v>
      </c>
      <c r="G167" s="98">
        <v>0</v>
      </c>
      <c r="H167" s="98">
        <v>0</v>
      </c>
      <c r="I167" s="98">
        <v>0</v>
      </c>
      <c r="J167" s="98">
        <v>0</v>
      </c>
      <c r="K167" s="98">
        <v>0</v>
      </c>
      <c r="L167" s="98">
        <v>0</v>
      </c>
      <c r="M167" s="98">
        <v>0</v>
      </c>
      <c r="N167" s="98">
        <v>0</v>
      </c>
      <c r="O167" s="98">
        <v>0</v>
      </c>
      <c r="P167" s="391" t="s">
        <v>728</v>
      </c>
      <c r="Q167" s="391" t="s">
        <v>870</v>
      </c>
      <c r="R167" s="391" t="s">
        <v>870</v>
      </c>
      <c r="S167" s="391" t="s">
        <v>870</v>
      </c>
      <c r="T167" s="391" t="s">
        <v>870</v>
      </c>
      <c r="V167" s="97" t="s">
        <v>86</v>
      </c>
      <c r="W167" s="391">
        <v>0</v>
      </c>
      <c r="X167" s="391">
        <f>+'[30]ITCO (Ajustado)'!E76</f>
        <v>0</v>
      </c>
    </row>
    <row r="168" spans="2:24" ht="16" thickBot="1">
      <c r="B168" s="97" t="s">
        <v>116</v>
      </c>
      <c r="C168" s="98">
        <v>0</v>
      </c>
      <c r="D168" s="98">
        <v>0</v>
      </c>
      <c r="E168" s="98">
        <v>0</v>
      </c>
      <c r="F168" s="98">
        <v>0</v>
      </c>
      <c r="G168" s="98">
        <v>0</v>
      </c>
      <c r="H168" s="98">
        <v>0</v>
      </c>
      <c r="I168" s="98">
        <v>0</v>
      </c>
      <c r="J168" s="98">
        <v>0</v>
      </c>
      <c r="K168" s="98">
        <v>0</v>
      </c>
      <c r="L168" s="98">
        <v>0</v>
      </c>
      <c r="M168" s="98">
        <v>0</v>
      </c>
      <c r="N168" s="98">
        <v>0</v>
      </c>
      <c r="O168" s="98">
        <v>0</v>
      </c>
      <c r="P168" s="391" t="s">
        <v>728</v>
      </c>
      <c r="Q168" s="391" t="s">
        <v>870</v>
      </c>
      <c r="R168" s="391" t="s">
        <v>870</v>
      </c>
      <c r="S168" s="391" t="s">
        <v>870</v>
      </c>
      <c r="T168" s="391" t="s">
        <v>870</v>
      </c>
      <c r="V168" s="97" t="s">
        <v>116</v>
      </c>
      <c r="W168" s="391">
        <v>0</v>
      </c>
      <c r="X168" s="391">
        <f>+'[30]ITCO (Ajustado)'!E77</f>
        <v>0</v>
      </c>
    </row>
    <row r="169" spans="2:24" ht="15.5" thickBot="1">
      <c r="B169" s="95" t="s">
        <v>91</v>
      </c>
      <c r="C169" s="101">
        <v>69063</v>
      </c>
      <c r="D169" s="101">
        <v>77683</v>
      </c>
      <c r="E169" s="101">
        <v>80437</v>
      </c>
      <c r="F169" s="101">
        <v>81909</v>
      </c>
      <c r="G169" s="101">
        <v>84144</v>
      </c>
      <c r="H169" s="101">
        <v>82660</v>
      </c>
      <c r="I169" s="101">
        <v>85181</v>
      </c>
      <c r="J169" s="101">
        <v>87290</v>
      </c>
      <c r="K169" s="101">
        <v>89398</v>
      </c>
      <c r="L169" s="101">
        <v>90865</v>
      </c>
      <c r="M169" s="101">
        <v>93766</v>
      </c>
      <c r="N169" s="101">
        <v>96072</v>
      </c>
      <c r="O169" s="101">
        <v>98586</v>
      </c>
      <c r="P169" s="101">
        <v>101096</v>
      </c>
      <c r="Q169" s="101">
        <v>103358</v>
      </c>
      <c r="R169" s="101">
        <v>93746</v>
      </c>
      <c r="S169" s="101">
        <v>109349</v>
      </c>
      <c r="T169" s="101">
        <v>91424</v>
      </c>
      <c r="V169" s="95" t="s">
        <v>91</v>
      </c>
      <c r="W169" s="101">
        <v>93406</v>
      </c>
      <c r="X169" s="101">
        <f>+'[30]ITCO (Ajustado)'!E78</f>
        <v>95080</v>
      </c>
    </row>
    <row r="170" spans="2:24" ht="15.5" thickBot="1">
      <c r="B170" s="103" t="s">
        <v>92</v>
      </c>
      <c r="C170" s="104">
        <v>158792</v>
      </c>
      <c r="D170" s="104">
        <v>149158</v>
      </c>
      <c r="E170" s="104">
        <v>167573</v>
      </c>
      <c r="F170" s="104">
        <v>198178</v>
      </c>
      <c r="G170" s="104">
        <v>176530</v>
      </c>
      <c r="H170" s="104">
        <v>147393</v>
      </c>
      <c r="I170" s="104">
        <v>187595</v>
      </c>
      <c r="J170" s="104">
        <v>182282</v>
      </c>
      <c r="K170" s="104">
        <v>187827</v>
      </c>
      <c r="L170" s="104">
        <v>160411</v>
      </c>
      <c r="M170" s="104">
        <v>209591</v>
      </c>
      <c r="N170" s="104">
        <v>204813</v>
      </c>
      <c r="O170" s="104">
        <v>188239</v>
      </c>
      <c r="P170" s="104">
        <v>184750</v>
      </c>
      <c r="Q170" s="104">
        <v>198481</v>
      </c>
      <c r="R170" s="104">
        <v>212134</v>
      </c>
      <c r="S170" s="104">
        <v>218006</v>
      </c>
      <c r="T170" s="104">
        <v>186953</v>
      </c>
      <c r="V170" s="103" t="s">
        <v>92</v>
      </c>
      <c r="W170" s="104">
        <v>226862</v>
      </c>
      <c r="X170" s="104">
        <f>+'[30]ITCO (Ajustado)'!E79</f>
        <v>235889</v>
      </c>
    </row>
    <row r="171" spans="2:24" ht="15.5" thickBot="1">
      <c r="B171" s="106"/>
      <c r="C171" s="107"/>
      <c r="D171" s="107"/>
      <c r="E171" s="107"/>
      <c r="F171" s="107"/>
      <c r="G171" s="107"/>
      <c r="H171" s="107"/>
      <c r="I171" s="107"/>
      <c r="J171" s="107"/>
      <c r="K171" s="107"/>
      <c r="L171" s="107"/>
      <c r="M171" s="107"/>
      <c r="N171" s="107"/>
      <c r="O171" s="107"/>
      <c r="P171" s="398"/>
      <c r="Q171" s="107" t="s">
        <v>729</v>
      </c>
      <c r="R171" s="107" t="s">
        <v>729</v>
      </c>
      <c r="S171" s="107">
        <v>0</v>
      </c>
      <c r="V171" s="106"/>
    </row>
    <row r="172" spans="2:24" ht="15.5" thickBot="1">
      <c r="B172" s="113" t="s">
        <v>93</v>
      </c>
      <c r="C172" s="112"/>
      <c r="D172" s="112"/>
      <c r="E172" s="112"/>
      <c r="F172" s="112"/>
      <c r="G172" s="112"/>
      <c r="H172" s="112"/>
      <c r="I172" s="112"/>
      <c r="J172" s="112"/>
      <c r="K172" s="112"/>
      <c r="L172" s="112"/>
      <c r="M172" s="112"/>
      <c r="N172" s="112"/>
      <c r="O172" s="112"/>
      <c r="P172" s="112" t="s">
        <v>729</v>
      </c>
      <c r="Q172" s="112" t="s">
        <v>729</v>
      </c>
      <c r="R172" s="112" t="s">
        <v>729</v>
      </c>
      <c r="S172" s="112">
        <v>0</v>
      </c>
      <c r="T172" s="112"/>
      <c r="V172" s="113" t="s">
        <v>93</v>
      </c>
      <c r="W172" s="112"/>
      <c r="X172" s="112"/>
    </row>
    <row r="173" spans="2:24" ht="16" thickBot="1">
      <c r="B173" s="97" t="s">
        <v>94</v>
      </c>
      <c r="C173" s="98">
        <v>73050</v>
      </c>
      <c r="D173" s="98">
        <v>73050</v>
      </c>
      <c r="E173" s="98">
        <v>73050</v>
      </c>
      <c r="F173" s="98">
        <v>73050</v>
      </c>
      <c r="G173" s="98">
        <v>73050</v>
      </c>
      <c r="H173" s="98">
        <v>73050</v>
      </c>
      <c r="I173" s="98">
        <v>73050</v>
      </c>
      <c r="J173" s="98">
        <v>73050</v>
      </c>
      <c r="K173" s="98">
        <v>73050</v>
      </c>
      <c r="L173" s="98">
        <v>73050</v>
      </c>
      <c r="M173" s="98">
        <v>73050</v>
      </c>
      <c r="N173" s="98">
        <v>73050</v>
      </c>
      <c r="O173" s="98">
        <v>73050</v>
      </c>
      <c r="P173" s="391">
        <v>73050</v>
      </c>
      <c r="Q173" s="391">
        <v>73050</v>
      </c>
      <c r="R173" s="391">
        <v>73050</v>
      </c>
      <c r="S173" s="391">
        <v>73050</v>
      </c>
      <c r="T173" s="632">
        <v>73050</v>
      </c>
      <c r="V173" s="97" t="s">
        <v>94</v>
      </c>
      <c r="W173" s="632">
        <v>73050</v>
      </c>
      <c r="X173" s="632">
        <f>+'[30]ITCO (Ajustado)'!E82</f>
        <v>73050</v>
      </c>
    </row>
    <row r="174" spans="2:24" ht="16" thickBot="1">
      <c r="B174" s="97" t="s">
        <v>95</v>
      </c>
      <c r="C174" s="98">
        <v>0</v>
      </c>
      <c r="D174" s="98">
        <v>0</v>
      </c>
      <c r="E174" s="98">
        <v>0</v>
      </c>
      <c r="F174" s="98">
        <v>0</v>
      </c>
      <c r="G174" s="98">
        <v>0</v>
      </c>
      <c r="H174" s="98">
        <v>0</v>
      </c>
      <c r="I174" s="98">
        <v>0</v>
      </c>
      <c r="J174" s="98">
        <v>0</v>
      </c>
      <c r="K174" s="98">
        <v>0</v>
      </c>
      <c r="L174" s="98">
        <v>0</v>
      </c>
      <c r="M174" s="98">
        <v>0</v>
      </c>
      <c r="N174" s="98">
        <v>0</v>
      </c>
      <c r="O174" s="98">
        <v>0</v>
      </c>
      <c r="P174" s="391" t="s">
        <v>728</v>
      </c>
      <c r="Q174" s="391" t="s">
        <v>870</v>
      </c>
      <c r="R174" s="391" t="s">
        <v>870</v>
      </c>
      <c r="S174" s="391" t="s">
        <v>870</v>
      </c>
      <c r="T174" s="391" t="s">
        <v>870</v>
      </c>
      <c r="V174" s="97" t="s">
        <v>95</v>
      </c>
      <c r="W174" s="391">
        <v>0</v>
      </c>
      <c r="X174" s="391">
        <f>+'[30]ITCO (Ajustado)'!E83</f>
        <v>0</v>
      </c>
    </row>
    <row r="175" spans="2:24" ht="16" thickBot="1">
      <c r="B175" s="97" t="s">
        <v>96</v>
      </c>
      <c r="C175" s="98">
        <v>4962</v>
      </c>
      <c r="D175" s="98">
        <v>7325</v>
      </c>
      <c r="E175" s="98">
        <v>9767</v>
      </c>
      <c r="F175" s="98">
        <v>9767</v>
      </c>
      <c r="G175" s="98">
        <v>9767</v>
      </c>
      <c r="H175" s="98">
        <v>9767</v>
      </c>
      <c r="I175" s="98">
        <v>12414</v>
      </c>
      <c r="J175" s="98">
        <v>12414</v>
      </c>
      <c r="K175" s="98">
        <v>12414</v>
      </c>
      <c r="L175" s="98">
        <v>12414</v>
      </c>
      <c r="M175" s="98">
        <v>15709</v>
      </c>
      <c r="N175" s="98">
        <v>15709</v>
      </c>
      <c r="O175" s="98">
        <v>15709</v>
      </c>
      <c r="P175" s="391">
        <v>15709</v>
      </c>
      <c r="Q175" s="391">
        <v>18651</v>
      </c>
      <c r="R175" s="391">
        <v>18651</v>
      </c>
      <c r="S175" s="391">
        <v>18651</v>
      </c>
      <c r="T175" s="632">
        <v>18651</v>
      </c>
      <c r="V175" s="97" t="s">
        <v>96</v>
      </c>
      <c r="W175" s="632">
        <v>22460</v>
      </c>
      <c r="X175" s="632">
        <f>+'[30]ITCO (Ajustado)'!E84</f>
        <v>22460</v>
      </c>
    </row>
    <row r="176" spans="2:24" ht="16" thickBot="1">
      <c r="B176" s="97" t="s">
        <v>97</v>
      </c>
      <c r="C176" s="98">
        <v>-21651</v>
      </c>
      <c r="D176" s="98">
        <v>-21651</v>
      </c>
      <c r="E176" s="98">
        <v>-21650</v>
      </c>
      <c r="F176" s="98">
        <v>-21650</v>
      </c>
      <c r="G176" s="98">
        <v>-21650</v>
      </c>
      <c r="H176" s="98">
        <v>-22095</v>
      </c>
      <c r="I176" s="98">
        <v>-22095</v>
      </c>
      <c r="J176" s="98">
        <v>-22095</v>
      </c>
      <c r="K176" s="98">
        <v>-22095</v>
      </c>
      <c r="L176" s="98">
        <v>-22095</v>
      </c>
      <c r="M176" s="98">
        <v>-22095</v>
      </c>
      <c r="N176" s="98">
        <v>-22095</v>
      </c>
      <c r="O176" s="98">
        <v>-22095</v>
      </c>
      <c r="P176" s="391">
        <v>-22095</v>
      </c>
      <c r="Q176" s="391">
        <v>-22095</v>
      </c>
      <c r="R176" s="391">
        <v>-22095</v>
      </c>
      <c r="S176" s="391">
        <v>-22081</v>
      </c>
      <c r="T176" s="632">
        <v>-22095</v>
      </c>
      <c r="V176" s="97" t="s">
        <v>97</v>
      </c>
      <c r="W176" s="632">
        <v>-44474</v>
      </c>
      <c r="X176" s="632">
        <f>+'[30]ITCO (Ajustado)'!E85</f>
        <v>-44474</v>
      </c>
    </row>
    <row r="177" spans="1:24" ht="16" thickBot="1">
      <c r="B177" s="97" t="s">
        <v>98</v>
      </c>
      <c r="C177" s="98">
        <v>23629</v>
      </c>
      <c r="D177" s="98">
        <v>24422</v>
      </c>
      <c r="E177" s="98">
        <v>6704</v>
      </c>
      <c r="F177" s="98">
        <v>15266</v>
      </c>
      <c r="G177" s="98">
        <v>22018</v>
      </c>
      <c r="H177" s="98">
        <v>26478</v>
      </c>
      <c r="I177" s="98">
        <v>7572</v>
      </c>
      <c r="J177" s="98">
        <v>14473</v>
      </c>
      <c r="K177" s="98">
        <v>22662</v>
      </c>
      <c r="L177" s="98">
        <v>32943</v>
      </c>
      <c r="M177" s="98">
        <v>8574</v>
      </c>
      <c r="N177" s="98">
        <v>13182</v>
      </c>
      <c r="O177" s="98">
        <v>21555</v>
      </c>
      <c r="P177" s="391">
        <v>29424</v>
      </c>
      <c r="Q177" s="391">
        <v>9070</v>
      </c>
      <c r="R177" s="391">
        <v>17966</v>
      </c>
      <c r="S177" s="391">
        <v>31368</v>
      </c>
      <c r="T177" s="632">
        <v>15713</v>
      </c>
      <c r="V177" s="97" t="s">
        <v>98</v>
      </c>
      <c r="W177" s="632">
        <v>11279</v>
      </c>
      <c r="X177" s="632">
        <f>+'[30]ITCO (Ajustado)'!E86</f>
        <v>23137</v>
      </c>
    </row>
    <row r="178" spans="1:24" ht="16" thickBot="1">
      <c r="B178" s="97" t="s">
        <v>99</v>
      </c>
      <c r="C178" s="98">
        <v>-3164</v>
      </c>
      <c r="D178" s="98">
        <v>-4108</v>
      </c>
      <c r="E178" s="98">
        <v>-4108</v>
      </c>
      <c r="F178" s="98">
        <v>-4108</v>
      </c>
      <c r="G178" s="98">
        <v>-4110</v>
      </c>
      <c r="H178" s="98">
        <v>-2991</v>
      </c>
      <c r="I178" s="98">
        <v>-2992</v>
      </c>
      <c r="J178" s="98">
        <v>-2991</v>
      </c>
      <c r="K178" s="98">
        <v>-2989</v>
      </c>
      <c r="L178" s="98">
        <v>-3975</v>
      </c>
      <c r="M178" s="98">
        <v>-3975</v>
      </c>
      <c r="N178" s="98">
        <v>-3975</v>
      </c>
      <c r="O178" s="98">
        <v>-3974</v>
      </c>
      <c r="P178" s="391">
        <v>-8588</v>
      </c>
      <c r="Q178" s="391">
        <v>-8588</v>
      </c>
      <c r="R178" s="391">
        <v>-8588</v>
      </c>
      <c r="S178" s="391">
        <v>-8292</v>
      </c>
      <c r="T178" s="632">
        <v>7715</v>
      </c>
      <c r="V178" s="97" t="s">
        <v>99</v>
      </c>
      <c r="W178" s="632">
        <v>7714</v>
      </c>
      <c r="X178" s="632">
        <f>+'[30]ITCO (Ajustado)'!E87</f>
        <v>7714</v>
      </c>
    </row>
    <row r="179" spans="1:24" ht="15.5" thickBot="1">
      <c r="B179" s="95" t="s">
        <v>102</v>
      </c>
      <c r="C179" s="101">
        <v>76826</v>
      </c>
      <c r="D179" s="101">
        <v>79038</v>
      </c>
      <c r="E179" s="101">
        <v>63763</v>
      </c>
      <c r="F179" s="101">
        <v>72325</v>
      </c>
      <c r="G179" s="101">
        <v>79075</v>
      </c>
      <c r="H179" s="101">
        <v>84209</v>
      </c>
      <c r="I179" s="101">
        <v>67949</v>
      </c>
      <c r="J179" s="101">
        <v>74851</v>
      </c>
      <c r="K179" s="101">
        <v>83042</v>
      </c>
      <c r="L179" s="101">
        <v>92337</v>
      </c>
      <c r="M179" s="101">
        <v>71263</v>
      </c>
      <c r="N179" s="101">
        <v>75871</v>
      </c>
      <c r="O179" s="101">
        <v>84245</v>
      </c>
      <c r="P179" s="101">
        <v>87500</v>
      </c>
      <c r="Q179" s="101">
        <v>70088</v>
      </c>
      <c r="R179" s="101">
        <v>78985</v>
      </c>
      <c r="S179" s="101">
        <v>92696</v>
      </c>
      <c r="T179" s="101">
        <v>93034</v>
      </c>
      <c r="V179" s="95" t="s">
        <v>102</v>
      </c>
      <c r="W179" s="101">
        <v>70029</v>
      </c>
      <c r="X179" s="101">
        <f>+'[30]ITCO (Ajustado)'!E88</f>
        <v>81887</v>
      </c>
    </row>
    <row r="180" spans="1:24" ht="15.5" thickBot="1">
      <c r="B180" s="114" t="s">
        <v>103</v>
      </c>
      <c r="C180" s="104">
        <v>235618</v>
      </c>
      <c r="D180" s="104">
        <v>228196</v>
      </c>
      <c r="E180" s="104">
        <v>231336</v>
      </c>
      <c r="F180" s="104">
        <v>270503</v>
      </c>
      <c r="G180" s="104">
        <v>255605</v>
      </c>
      <c r="H180" s="104">
        <v>231602</v>
      </c>
      <c r="I180" s="104">
        <v>255544</v>
      </c>
      <c r="J180" s="104">
        <v>257133</v>
      </c>
      <c r="K180" s="104">
        <v>270869</v>
      </c>
      <c r="L180" s="104">
        <v>252748</v>
      </c>
      <c r="M180" s="104">
        <v>280854</v>
      </c>
      <c r="N180" s="104">
        <v>280684</v>
      </c>
      <c r="O180" s="104">
        <v>272484</v>
      </c>
      <c r="P180" s="104">
        <v>272250</v>
      </c>
      <c r="Q180" s="104">
        <v>268569</v>
      </c>
      <c r="R180" s="104">
        <v>291119</v>
      </c>
      <c r="S180" s="104">
        <v>310702</v>
      </c>
      <c r="T180" s="104">
        <v>279987</v>
      </c>
      <c r="V180" s="114" t="s">
        <v>103</v>
      </c>
      <c r="W180" s="104">
        <v>296891</v>
      </c>
      <c r="X180" s="104">
        <f>+'[30]ITCO (Ajustado)'!E89</f>
        <v>317776</v>
      </c>
    </row>
    <row r="181" spans="1:24" ht="15.5">
      <c r="B181" s="79"/>
      <c r="C181" s="115">
        <f>+C147-C170-C179</f>
        <v>0</v>
      </c>
      <c r="D181" s="115">
        <f t="shared" ref="D181:N181" si="32">+D147-D170-D179</f>
        <v>0</v>
      </c>
      <c r="E181" s="115">
        <f t="shared" si="32"/>
        <v>0</v>
      </c>
      <c r="F181" s="115">
        <f t="shared" si="32"/>
        <v>0</v>
      </c>
      <c r="G181" s="115">
        <f t="shared" si="32"/>
        <v>0</v>
      </c>
      <c r="H181" s="115">
        <f t="shared" si="32"/>
        <v>0</v>
      </c>
      <c r="I181" s="115">
        <f t="shared" si="32"/>
        <v>0</v>
      </c>
      <c r="J181" s="115">
        <f t="shared" si="32"/>
        <v>0</v>
      </c>
      <c r="K181" s="115">
        <f t="shared" si="32"/>
        <v>0</v>
      </c>
      <c r="L181" s="115">
        <f t="shared" si="32"/>
        <v>0</v>
      </c>
      <c r="M181" s="115">
        <f t="shared" si="32"/>
        <v>0</v>
      </c>
      <c r="N181" s="115">
        <f t="shared" si="32"/>
        <v>0</v>
      </c>
      <c r="O181" s="115">
        <v>0</v>
      </c>
      <c r="P181" s="399"/>
    </row>
    <row r="182" spans="1:24" ht="15.5">
      <c r="B182" s="78"/>
      <c r="C182" s="116">
        <f>+C115-C177</f>
        <v>0</v>
      </c>
      <c r="D182" s="116">
        <f>+D115-D177</f>
        <v>0</v>
      </c>
      <c r="E182" s="116">
        <f>+E115-E177</f>
        <v>0</v>
      </c>
      <c r="F182" s="116">
        <f>+F115+E115-F177</f>
        <v>0</v>
      </c>
      <c r="G182" s="116">
        <f>+G115+F115+E115-G177</f>
        <v>0</v>
      </c>
      <c r="H182" s="116">
        <f>+H115+G115+F115+E115-H177</f>
        <v>0</v>
      </c>
      <c r="I182" s="116">
        <f>+I115-I177</f>
        <v>0</v>
      </c>
      <c r="J182" s="116">
        <f>+J115+I115-J177</f>
        <v>0</v>
      </c>
      <c r="K182" s="116">
        <f>+K115+J115+I115-K177</f>
        <v>0</v>
      </c>
      <c r="L182" s="116">
        <f>+L115+K115+J115+I115-L177</f>
        <v>0</v>
      </c>
      <c r="M182" s="116">
        <f>+M115-M177</f>
        <v>0</v>
      </c>
      <c r="N182" s="116">
        <f>+N115+M115-N177</f>
        <v>0</v>
      </c>
      <c r="O182" s="116">
        <v>0</v>
      </c>
      <c r="P182" s="392"/>
    </row>
    <row r="183" spans="1:24" ht="15.5">
      <c r="B183" s="78"/>
      <c r="C183" s="122"/>
      <c r="D183" s="122"/>
      <c r="E183" s="122"/>
      <c r="F183" s="122"/>
      <c r="G183" s="122"/>
      <c r="H183" s="122"/>
      <c r="I183" s="122"/>
      <c r="J183" s="122"/>
      <c r="K183" s="122"/>
      <c r="L183" s="122"/>
      <c r="M183" s="122"/>
      <c r="N183" s="122"/>
      <c r="O183" s="122"/>
      <c r="P183" s="378"/>
    </row>
    <row r="184" spans="1:24" ht="15.5">
      <c r="A184" s="56" t="s">
        <v>104</v>
      </c>
      <c r="B184" s="12" t="s">
        <v>1230</v>
      </c>
      <c r="C184" s="6"/>
      <c r="D184" s="6"/>
      <c r="E184" s="7"/>
      <c r="F184" s="6"/>
      <c r="G184" s="6"/>
      <c r="H184" s="6"/>
      <c r="I184" s="7"/>
      <c r="J184" s="6"/>
      <c r="K184" s="6"/>
      <c r="L184" s="6"/>
      <c r="M184" s="7"/>
      <c r="N184" s="6"/>
      <c r="O184" s="6"/>
      <c r="P184" s="378"/>
    </row>
    <row r="185" spans="1:24" ht="15.5">
      <c r="B185" s="14" t="s">
        <v>18</v>
      </c>
      <c r="C185" s="79"/>
      <c r="D185" s="79"/>
      <c r="E185" s="79"/>
      <c r="F185" s="79"/>
      <c r="G185" s="79"/>
      <c r="H185" s="79"/>
      <c r="I185" s="79"/>
      <c r="J185" s="79"/>
      <c r="K185" s="79"/>
      <c r="L185" s="79"/>
      <c r="M185" s="79"/>
      <c r="N185" s="79"/>
      <c r="O185" s="79"/>
      <c r="P185" s="378"/>
    </row>
    <row r="186" spans="1:24" ht="15.5">
      <c r="B186" s="9"/>
      <c r="C186" s="9"/>
      <c r="D186" s="9"/>
      <c r="E186" s="9"/>
      <c r="F186" s="9"/>
      <c r="G186" s="9"/>
      <c r="H186" s="9"/>
      <c r="I186" s="9"/>
      <c r="J186" s="9"/>
      <c r="K186" s="9"/>
      <c r="L186" s="9"/>
      <c r="M186" s="9"/>
      <c r="N186" s="9"/>
      <c r="O186" s="9"/>
      <c r="P186" s="378"/>
      <c r="V186" s="32"/>
    </row>
    <row r="187" spans="1:24" s="32" customFormat="1" ht="15.5">
      <c r="B187" s="80"/>
      <c r="C187" s="81">
        <v>2016</v>
      </c>
      <c r="D187" s="81">
        <v>2017</v>
      </c>
      <c r="E187" s="81" t="s">
        <v>19</v>
      </c>
      <c r="F187" s="81" t="s">
        <v>20</v>
      </c>
      <c r="G187" s="81" t="s">
        <v>21</v>
      </c>
      <c r="H187" s="81" t="s">
        <v>22</v>
      </c>
      <c r="I187" s="81" t="s">
        <v>23</v>
      </c>
      <c r="J187" s="541" t="s">
        <v>24</v>
      </c>
      <c r="K187" s="541" t="s">
        <v>25</v>
      </c>
      <c r="L187" s="541" t="s">
        <v>26</v>
      </c>
      <c r="M187" s="541" t="s">
        <v>27</v>
      </c>
      <c r="N187" s="541" t="s">
        <v>28</v>
      </c>
      <c r="O187" s="541" t="s">
        <v>29</v>
      </c>
      <c r="P187" s="541" t="s">
        <v>722</v>
      </c>
      <c r="Q187" s="541" t="s">
        <v>739</v>
      </c>
      <c r="R187" s="541" t="s">
        <v>912</v>
      </c>
      <c r="S187" s="541" t="s">
        <v>1051</v>
      </c>
      <c r="T187" s="541" t="s">
        <v>1089</v>
      </c>
      <c r="U187" s="46"/>
      <c r="V187" s="80"/>
      <c r="W187" s="345" t="s">
        <v>1109</v>
      </c>
      <c r="X187" s="345" t="s">
        <v>1190</v>
      </c>
    </row>
    <row r="188" spans="1:24" ht="15.5">
      <c r="B188" s="82"/>
      <c r="C188" s="9"/>
      <c r="D188" s="9"/>
      <c r="E188" s="9"/>
      <c r="F188" s="9"/>
      <c r="G188" s="9"/>
      <c r="H188" s="9"/>
      <c r="I188" s="9"/>
      <c r="J188" s="9"/>
      <c r="K188" s="9"/>
      <c r="L188" s="9"/>
      <c r="M188" s="9"/>
      <c r="N188" s="9"/>
      <c r="O188" s="9"/>
      <c r="P188" s="378"/>
    </row>
    <row r="189" spans="1:24" ht="15.5">
      <c r="B189" s="83" t="s">
        <v>107</v>
      </c>
      <c r="C189" s="118">
        <v>129114</v>
      </c>
      <c r="D189" s="118">
        <v>129681</v>
      </c>
      <c r="E189" s="118">
        <v>32993</v>
      </c>
      <c r="F189" s="118">
        <v>32961</v>
      </c>
      <c r="G189" s="118">
        <v>33349</v>
      </c>
      <c r="H189" s="118">
        <v>33847</v>
      </c>
      <c r="I189" s="118">
        <v>34073</v>
      </c>
      <c r="J189" s="118">
        <v>34509</v>
      </c>
      <c r="K189" s="118">
        <v>35213</v>
      </c>
      <c r="L189" s="118">
        <v>35723</v>
      </c>
      <c r="M189" s="118">
        <v>35290</v>
      </c>
      <c r="N189" s="118">
        <v>35995</v>
      </c>
      <c r="O189" s="118">
        <v>35693</v>
      </c>
      <c r="P189" s="393">
        <v>36252</v>
      </c>
      <c r="Q189" s="118">
        <v>36593</v>
      </c>
      <c r="R189" s="118">
        <v>38796</v>
      </c>
      <c r="S189" s="118">
        <v>40453</v>
      </c>
      <c r="T189" s="118">
        <v>41478</v>
      </c>
      <c r="V189" s="83" t="s">
        <v>107</v>
      </c>
      <c r="W189" s="118">
        <v>44664</v>
      </c>
      <c r="X189" s="118">
        <v>47627</v>
      </c>
    </row>
    <row r="190" spans="1:24" ht="15.5">
      <c r="B190" s="83" t="s">
        <v>108</v>
      </c>
      <c r="C190" s="118">
        <v>105814</v>
      </c>
      <c r="D190" s="118">
        <v>105442</v>
      </c>
      <c r="E190" s="118">
        <v>26867</v>
      </c>
      <c r="F190" s="118">
        <v>27098</v>
      </c>
      <c r="G190" s="118">
        <v>27421</v>
      </c>
      <c r="H190" s="118">
        <v>29532</v>
      </c>
      <c r="I190" s="118">
        <v>28710</v>
      </c>
      <c r="J190" s="118">
        <v>29079</v>
      </c>
      <c r="K190" s="118">
        <v>29392</v>
      </c>
      <c r="L190" s="118">
        <v>30072</v>
      </c>
      <c r="M190" s="118">
        <v>29659</v>
      </c>
      <c r="N190" s="118">
        <v>29636</v>
      </c>
      <c r="O190" s="118">
        <v>29580</v>
      </c>
      <c r="P190" s="393">
        <v>30364</v>
      </c>
      <c r="Q190" s="118">
        <v>30656</v>
      </c>
      <c r="R190" s="118">
        <v>32697</v>
      </c>
      <c r="S190" s="118">
        <v>32684</v>
      </c>
      <c r="T190" s="118">
        <v>35783</v>
      </c>
      <c r="V190" s="83" t="s">
        <v>108</v>
      </c>
      <c r="W190" s="118">
        <v>37512</v>
      </c>
      <c r="X190" s="118">
        <v>39778</v>
      </c>
    </row>
    <row r="191" spans="1:24" ht="15.5">
      <c r="B191" s="83" t="s">
        <v>124</v>
      </c>
      <c r="C191" s="118">
        <v>101</v>
      </c>
      <c r="D191" s="118">
        <v>75</v>
      </c>
      <c r="E191" s="118">
        <v>18</v>
      </c>
      <c r="F191" s="118">
        <v>18</v>
      </c>
      <c r="G191" s="118">
        <v>361</v>
      </c>
      <c r="H191" s="118">
        <v>-325</v>
      </c>
      <c r="I191" s="118">
        <v>18</v>
      </c>
      <c r="J191" s="118">
        <v>19</v>
      </c>
      <c r="K191" s="118">
        <v>19</v>
      </c>
      <c r="L191" s="118">
        <v>18</v>
      </c>
      <c r="M191" s="118">
        <v>19</v>
      </c>
      <c r="N191" s="118">
        <v>19</v>
      </c>
      <c r="O191" s="118">
        <v>19</v>
      </c>
      <c r="P191" s="393">
        <v>19</v>
      </c>
      <c r="Q191" s="118">
        <v>19</v>
      </c>
      <c r="R191" s="118">
        <v>20</v>
      </c>
      <c r="S191" s="118">
        <v>20</v>
      </c>
      <c r="T191" s="118">
        <v>20</v>
      </c>
      <c r="V191" s="83" t="s">
        <v>124</v>
      </c>
      <c r="W191" s="118">
        <v>21</v>
      </c>
      <c r="X191" s="118">
        <v>21</v>
      </c>
    </row>
    <row r="192" spans="1:24" ht="15.5">
      <c r="B192" s="83" t="s">
        <v>39</v>
      </c>
      <c r="C192" s="118">
        <v>8443</v>
      </c>
      <c r="D192" s="118">
        <v>8866</v>
      </c>
      <c r="E192" s="118">
        <v>2525</v>
      </c>
      <c r="F192" s="118">
        <v>2019</v>
      </c>
      <c r="G192" s="118">
        <v>1974</v>
      </c>
      <c r="H192" s="118">
        <v>2702</v>
      </c>
      <c r="I192" s="118">
        <v>1370</v>
      </c>
      <c r="J192" s="118">
        <v>2975</v>
      </c>
      <c r="K192" s="118">
        <v>2660</v>
      </c>
      <c r="L192" s="118">
        <v>3527</v>
      </c>
      <c r="M192" s="118">
        <v>1913</v>
      </c>
      <c r="N192" s="118">
        <v>2026</v>
      </c>
      <c r="O192" s="118">
        <v>2111</v>
      </c>
      <c r="P192" s="393">
        <v>2841</v>
      </c>
      <c r="Q192" s="118">
        <v>2890</v>
      </c>
      <c r="R192" s="118">
        <v>1956</v>
      </c>
      <c r="S192" s="118">
        <v>2014</v>
      </c>
      <c r="T192" s="118">
        <v>2319</v>
      </c>
      <c r="V192" s="83" t="s">
        <v>39</v>
      </c>
      <c r="W192" s="118">
        <v>1544</v>
      </c>
      <c r="X192" s="118">
        <v>4096</v>
      </c>
    </row>
    <row r="193" spans="1:24" ht="15.5">
      <c r="B193" s="83" t="s">
        <v>40</v>
      </c>
      <c r="C193" s="118">
        <v>78240</v>
      </c>
      <c r="D193" s="118">
        <v>80724</v>
      </c>
      <c r="E193" s="118">
        <v>19907</v>
      </c>
      <c r="F193" s="118">
        <v>19822</v>
      </c>
      <c r="G193" s="118">
        <v>20044</v>
      </c>
      <c r="H193" s="118">
        <v>23718</v>
      </c>
      <c r="I193" s="118">
        <v>19579</v>
      </c>
      <c r="J193" s="118">
        <v>20953</v>
      </c>
      <c r="K193" s="118">
        <v>20303</v>
      </c>
      <c r="L193" s="118">
        <v>25693</v>
      </c>
      <c r="M193" s="118">
        <v>21797</v>
      </c>
      <c r="N193" s="118">
        <v>20844</v>
      </c>
      <c r="O193" s="118">
        <v>20757</v>
      </c>
      <c r="P193" s="393">
        <v>27753</v>
      </c>
      <c r="Q193" s="118">
        <v>21118</v>
      </c>
      <c r="R193" s="118">
        <v>22352</v>
      </c>
      <c r="S193" s="118">
        <v>21376</v>
      </c>
      <c r="T193" s="118">
        <v>30333</v>
      </c>
      <c r="V193" s="83" t="s">
        <v>40</v>
      </c>
      <c r="W193" s="118">
        <v>23627</v>
      </c>
      <c r="X193" s="118">
        <v>25150</v>
      </c>
    </row>
    <row r="194" spans="1:24" ht="15.5">
      <c r="B194" s="85" t="s">
        <v>111</v>
      </c>
      <c r="C194" s="119">
        <f>+C189+C190+C191+C192-C193</f>
        <v>165232</v>
      </c>
      <c r="D194" s="119">
        <f t="shared" ref="D194:P194" si="33">+D189+D190+D191+D192-D193</f>
        <v>163340</v>
      </c>
      <c r="E194" s="119">
        <f t="shared" si="33"/>
        <v>42496</v>
      </c>
      <c r="F194" s="119">
        <f t="shared" si="33"/>
        <v>42274</v>
      </c>
      <c r="G194" s="119">
        <f t="shared" si="33"/>
        <v>43061</v>
      </c>
      <c r="H194" s="119">
        <f t="shared" si="33"/>
        <v>42038</v>
      </c>
      <c r="I194" s="119">
        <f t="shared" si="33"/>
        <v>44592</v>
      </c>
      <c r="J194" s="119">
        <f t="shared" si="33"/>
        <v>45629</v>
      </c>
      <c r="K194" s="119">
        <f t="shared" si="33"/>
        <v>46981</v>
      </c>
      <c r="L194" s="119">
        <f t="shared" si="33"/>
        <v>43647</v>
      </c>
      <c r="M194" s="119">
        <f t="shared" si="33"/>
        <v>45084</v>
      </c>
      <c r="N194" s="119">
        <f t="shared" si="33"/>
        <v>46832</v>
      </c>
      <c r="O194" s="119">
        <f t="shared" si="33"/>
        <v>46646</v>
      </c>
      <c r="P194" s="394">
        <f t="shared" si="33"/>
        <v>41723</v>
      </c>
      <c r="Q194" s="119">
        <v>49040</v>
      </c>
      <c r="R194" s="119">
        <v>51117</v>
      </c>
      <c r="S194" s="119">
        <v>53795</v>
      </c>
      <c r="T194" s="119">
        <f t="shared" ref="T194" si="34">+T189+T190+T191+T192-T193</f>
        <v>49267</v>
      </c>
      <c r="V194" s="83" t="s">
        <v>43</v>
      </c>
      <c r="W194" s="118">
        <v>9325</v>
      </c>
      <c r="X194" s="118">
        <v>8485</v>
      </c>
    </row>
    <row r="195" spans="1:24" ht="15.5">
      <c r="B195" s="82"/>
      <c r="C195" s="9"/>
      <c r="D195" s="9"/>
      <c r="E195" s="9"/>
      <c r="F195" s="9"/>
      <c r="G195" s="9"/>
      <c r="H195" s="9"/>
      <c r="I195" s="9"/>
      <c r="J195" s="9"/>
      <c r="K195" s="9"/>
      <c r="L195" s="9"/>
      <c r="M195" s="9"/>
      <c r="N195" s="9"/>
      <c r="O195" s="9"/>
      <c r="P195" s="395"/>
      <c r="Q195" s="9"/>
      <c r="R195" s="9"/>
      <c r="S195" s="9"/>
      <c r="T195" s="9"/>
      <c r="V195" s="85" t="s">
        <v>1114</v>
      </c>
      <c r="W195" s="119">
        <v>50789</v>
      </c>
      <c r="X195" s="119">
        <f>+X189+X190+X191+X192-X193-X194</f>
        <v>57887</v>
      </c>
    </row>
    <row r="196" spans="1:24" ht="15.5">
      <c r="B196" s="83" t="s">
        <v>43</v>
      </c>
      <c r="C196" s="118">
        <v>60663</v>
      </c>
      <c r="D196" s="118">
        <v>43503</v>
      </c>
      <c r="E196" s="118">
        <v>10214</v>
      </c>
      <c r="F196" s="118">
        <v>10258</v>
      </c>
      <c r="G196" s="118">
        <v>10298</v>
      </c>
      <c r="H196" s="118">
        <v>11049</v>
      </c>
      <c r="I196" s="118">
        <v>10283</v>
      </c>
      <c r="J196" s="118">
        <v>10361</v>
      </c>
      <c r="K196" s="118">
        <v>10605</v>
      </c>
      <c r="L196" s="118">
        <v>10757</v>
      </c>
      <c r="M196" s="118">
        <v>9941</v>
      </c>
      <c r="N196" s="118">
        <v>9884</v>
      </c>
      <c r="O196" s="118">
        <v>8528</v>
      </c>
      <c r="P196" s="393">
        <v>18333</v>
      </c>
      <c r="Q196" s="118">
        <v>9479</v>
      </c>
      <c r="R196" s="118">
        <v>9503</v>
      </c>
      <c r="S196" s="118">
        <v>9536</v>
      </c>
      <c r="T196" s="118">
        <v>5798</v>
      </c>
      <c r="W196" s="118"/>
      <c r="X196" s="118"/>
    </row>
    <row r="197" spans="1:24" ht="15.5">
      <c r="B197" s="83" t="s">
        <v>44</v>
      </c>
      <c r="C197" s="118">
        <v>51858</v>
      </c>
      <c r="D197" s="118">
        <v>50752</v>
      </c>
      <c r="E197" s="118">
        <v>14600</v>
      </c>
      <c r="F197" s="118">
        <v>15412</v>
      </c>
      <c r="G197" s="118">
        <v>16495</v>
      </c>
      <c r="H197" s="118">
        <v>23021</v>
      </c>
      <c r="I197" s="118">
        <v>19715</v>
      </c>
      <c r="J197" s="118">
        <v>20515</v>
      </c>
      <c r="K197" s="118">
        <v>21108</v>
      </c>
      <c r="L197" s="118">
        <v>39996</v>
      </c>
      <c r="M197" s="118">
        <v>21539</v>
      </c>
      <c r="N197" s="118">
        <v>24125</v>
      </c>
      <c r="O197" s="118">
        <v>21737</v>
      </c>
      <c r="P197" s="393">
        <v>20279</v>
      </c>
      <c r="Q197" s="118">
        <v>22231</v>
      </c>
      <c r="R197" s="118">
        <v>22250</v>
      </c>
      <c r="S197" s="118">
        <v>24412</v>
      </c>
      <c r="T197" s="118">
        <v>24154</v>
      </c>
      <c r="V197" s="609" t="s">
        <v>44</v>
      </c>
      <c r="W197" s="118">
        <v>17689</v>
      </c>
      <c r="X197" s="118">
        <v>26748</v>
      </c>
    </row>
    <row r="198" spans="1:24" ht="15.5">
      <c r="B198" s="83" t="s">
        <v>45</v>
      </c>
      <c r="C198" s="118">
        <v>1526</v>
      </c>
      <c r="D198" s="118">
        <v>5283</v>
      </c>
      <c r="E198" s="118">
        <v>1214</v>
      </c>
      <c r="F198" s="118">
        <v>1912</v>
      </c>
      <c r="G198" s="118">
        <v>-2580</v>
      </c>
      <c r="H198" s="118">
        <v>-2984</v>
      </c>
      <c r="I198" s="118">
        <v>-41</v>
      </c>
      <c r="J198" s="118">
        <v>-782</v>
      </c>
      <c r="K198" s="118">
        <v>-1807</v>
      </c>
      <c r="L198" s="118">
        <v>-6778</v>
      </c>
      <c r="M198" s="118">
        <v>563</v>
      </c>
      <c r="N198" s="118">
        <v>169</v>
      </c>
      <c r="O198" s="118">
        <v>-3330</v>
      </c>
      <c r="P198" s="393">
        <v>-4923</v>
      </c>
      <c r="Q198" s="118">
        <v>438</v>
      </c>
      <c r="R198" s="118">
        <v>-296</v>
      </c>
      <c r="S198" s="118">
        <v>-2400</v>
      </c>
      <c r="T198" s="118">
        <v>-3070</v>
      </c>
      <c r="V198" s="83" t="s">
        <v>45</v>
      </c>
      <c r="W198" s="118">
        <v>828</v>
      </c>
      <c r="X198" s="118">
        <v>11752</v>
      </c>
    </row>
    <row r="199" spans="1:24" ht="15.5">
      <c r="B199" s="85" t="s">
        <v>46</v>
      </c>
      <c r="C199" s="120">
        <f>+C194-C196+C197+C198</f>
        <v>157953</v>
      </c>
      <c r="D199" s="120">
        <f>+D194-D196+D197+D198</f>
        <v>175872</v>
      </c>
      <c r="E199" s="120">
        <f t="shared" ref="E199:O199" si="35">+E194-E196+E197+E198</f>
        <v>48096</v>
      </c>
      <c r="F199" s="120">
        <f t="shared" si="35"/>
        <v>49340</v>
      </c>
      <c r="G199" s="120">
        <f t="shared" si="35"/>
        <v>46678</v>
      </c>
      <c r="H199" s="120">
        <f t="shared" si="35"/>
        <v>51026</v>
      </c>
      <c r="I199" s="120">
        <f t="shared" si="35"/>
        <v>53983</v>
      </c>
      <c r="J199" s="120">
        <f t="shared" si="35"/>
        <v>55001</v>
      </c>
      <c r="K199" s="120">
        <f t="shared" si="35"/>
        <v>55677</v>
      </c>
      <c r="L199" s="120">
        <f t="shared" si="35"/>
        <v>66108</v>
      </c>
      <c r="M199" s="120">
        <f t="shared" si="35"/>
        <v>57245</v>
      </c>
      <c r="N199" s="120">
        <f t="shared" si="35"/>
        <v>61242</v>
      </c>
      <c r="O199" s="120">
        <f t="shared" si="35"/>
        <v>56525</v>
      </c>
      <c r="P199" s="396">
        <f>+P194-P196+P197+P198</f>
        <v>38746</v>
      </c>
      <c r="Q199" s="120">
        <v>62230</v>
      </c>
      <c r="R199" s="120">
        <v>63568</v>
      </c>
      <c r="S199" s="120">
        <v>66271</v>
      </c>
      <c r="T199" s="120">
        <f>+T194-T196+T197+T198</f>
        <v>64553</v>
      </c>
      <c r="V199" s="85" t="s">
        <v>46</v>
      </c>
      <c r="W199" s="120">
        <v>69306</v>
      </c>
      <c r="X199" s="120">
        <f>+X195+X197+X198</f>
        <v>96387</v>
      </c>
    </row>
    <row r="200" spans="1:24" ht="15.5">
      <c r="B200" s="83"/>
      <c r="C200" s="118"/>
      <c r="D200" s="118"/>
      <c r="E200" s="118"/>
      <c r="F200" s="118"/>
      <c r="G200" s="118"/>
      <c r="H200" s="118"/>
      <c r="I200" s="118"/>
      <c r="J200" s="118"/>
      <c r="K200" s="118"/>
      <c r="L200" s="118"/>
      <c r="M200" s="118"/>
      <c r="N200" s="118"/>
      <c r="O200" s="118"/>
      <c r="P200" s="393"/>
      <c r="Q200" s="118"/>
      <c r="R200" s="118"/>
      <c r="S200" s="118">
        <v>0</v>
      </c>
      <c r="T200" s="118"/>
      <c r="W200" s="118"/>
      <c r="X200" s="118"/>
    </row>
    <row r="201" spans="1:24" ht="15.5">
      <c r="B201" s="83" t="s">
        <v>47</v>
      </c>
      <c r="C201" s="118">
        <v>-43180</v>
      </c>
      <c r="D201" s="118">
        <v>-29658</v>
      </c>
      <c r="E201" s="118">
        <v>-7224</v>
      </c>
      <c r="F201" s="118">
        <v>-6370</v>
      </c>
      <c r="G201" s="118">
        <v>-6374</v>
      </c>
      <c r="H201" s="118">
        <v>-5931</v>
      </c>
      <c r="I201" s="118">
        <v>-4724</v>
      </c>
      <c r="J201" s="118">
        <v>-5948</v>
      </c>
      <c r="K201" s="118">
        <v>-7235</v>
      </c>
      <c r="L201" s="118">
        <v>-6974</v>
      </c>
      <c r="M201" s="118">
        <v>-6659</v>
      </c>
      <c r="N201" s="118">
        <v>-9103</v>
      </c>
      <c r="O201" s="118">
        <v>-6593</v>
      </c>
      <c r="P201" s="393">
        <v>-5477</v>
      </c>
      <c r="Q201" s="118">
        <v>-4138</v>
      </c>
      <c r="R201" s="118">
        <v>-7181</v>
      </c>
      <c r="S201" s="118">
        <v>-7986</v>
      </c>
      <c r="T201" s="118">
        <v>-8830</v>
      </c>
      <c r="V201" s="83" t="s">
        <v>47</v>
      </c>
      <c r="W201" s="118">
        <v>-9013</v>
      </c>
      <c r="X201" s="118">
        <v>-5945</v>
      </c>
    </row>
    <row r="202" spans="1:24" ht="15.5">
      <c r="B202" s="85" t="s">
        <v>48</v>
      </c>
      <c r="C202" s="120">
        <f>+C199+C201</f>
        <v>114773</v>
      </c>
      <c r="D202" s="120">
        <f t="shared" ref="D202:O202" si="36">+D199+D201</f>
        <v>146214</v>
      </c>
      <c r="E202" s="120">
        <f t="shared" si="36"/>
        <v>40872</v>
      </c>
      <c r="F202" s="120">
        <f t="shared" si="36"/>
        <v>42970</v>
      </c>
      <c r="G202" s="120">
        <f t="shared" si="36"/>
        <v>40304</v>
      </c>
      <c r="H202" s="120">
        <f t="shared" si="36"/>
        <v>45095</v>
      </c>
      <c r="I202" s="120">
        <f t="shared" si="36"/>
        <v>49259</v>
      </c>
      <c r="J202" s="120">
        <f t="shared" si="36"/>
        <v>49053</v>
      </c>
      <c r="K202" s="120">
        <f t="shared" si="36"/>
        <v>48442</v>
      </c>
      <c r="L202" s="120">
        <f t="shared" si="36"/>
        <v>59134</v>
      </c>
      <c r="M202" s="120">
        <f t="shared" si="36"/>
        <v>50586</v>
      </c>
      <c r="N202" s="120">
        <f t="shared" si="36"/>
        <v>52139</v>
      </c>
      <c r="O202" s="120">
        <f t="shared" si="36"/>
        <v>49932</v>
      </c>
      <c r="P202" s="396">
        <f>+P199+P201</f>
        <v>33269</v>
      </c>
      <c r="Q202" s="120">
        <v>58092</v>
      </c>
      <c r="R202" s="120">
        <v>56387</v>
      </c>
      <c r="S202" s="120">
        <v>58285</v>
      </c>
      <c r="T202" s="120">
        <f>+T199+T201</f>
        <v>55723</v>
      </c>
      <c r="V202" s="85" t="s">
        <v>48</v>
      </c>
      <c r="W202" s="120">
        <v>60293</v>
      </c>
      <c r="X202" s="120">
        <f>+X199+X201</f>
        <v>90442</v>
      </c>
    </row>
    <row r="203" spans="1:24" ht="15.5">
      <c r="B203" s="82"/>
      <c r="C203" s="9"/>
      <c r="D203" s="9"/>
      <c r="E203" s="9"/>
      <c r="F203" s="9"/>
      <c r="G203" s="9"/>
      <c r="H203" s="9"/>
      <c r="I203" s="9"/>
      <c r="J203" s="9"/>
      <c r="K203" s="9"/>
      <c r="L203" s="9"/>
      <c r="M203" s="9"/>
      <c r="N203" s="9"/>
      <c r="O203" s="9"/>
      <c r="P203" s="395"/>
      <c r="Q203" s="9"/>
      <c r="R203" s="9"/>
      <c r="S203" s="9"/>
      <c r="T203" s="9"/>
      <c r="V203" s="82"/>
      <c r="W203" s="9"/>
      <c r="X203" s="9"/>
    </row>
    <row r="204" spans="1:24" ht="15.5">
      <c r="B204" s="83" t="s">
        <v>49</v>
      </c>
      <c r="C204" s="118">
        <v>26011</v>
      </c>
      <c r="D204" s="118">
        <v>38236</v>
      </c>
      <c r="E204" s="118">
        <v>9756</v>
      </c>
      <c r="F204" s="118">
        <v>10072</v>
      </c>
      <c r="G204" s="118">
        <v>8319</v>
      </c>
      <c r="H204" s="118">
        <v>5310</v>
      </c>
      <c r="I204" s="118">
        <v>9609</v>
      </c>
      <c r="J204" s="118">
        <v>10092</v>
      </c>
      <c r="K204" s="118">
        <v>8936</v>
      </c>
      <c r="L204" s="118">
        <v>6632</v>
      </c>
      <c r="M204" s="118">
        <v>10350</v>
      </c>
      <c r="N204" s="118">
        <v>11503</v>
      </c>
      <c r="O204" s="118">
        <v>11416</v>
      </c>
      <c r="P204" s="393">
        <v>5842</v>
      </c>
      <c r="Q204" s="118">
        <v>11489</v>
      </c>
      <c r="R204" s="118">
        <v>11191</v>
      </c>
      <c r="S204" s="118">
        <v>11138</v>
      </c>
      <c r="T204" s="118">
        <v>10645</v>
      </c>
      <c r="V204" s="83" t="s">
        <v>49</v>
      </c>
      <c r="W204" s="118">
        <v>-14488</v>
      </c>
      <c r="X204" s="118">
        <v>-20579</v>
      </c>
    </row>
    <row r="205" spans="1:24" ht="15.5">
      <c r="B205" s="85" t="s">
        <v>52</v>
      </c>
      <c r="C205" s="120">
        <f>+C202-C204</f>
        <v>88762</v>
      </c>
      <c r="D205" s="120">
        <f t="shared" ref="D205:O205" si="37">+D202-D204</f>
        <v>107978</v>
      </c>
      <c r="E205" s="120">
        <f t="shared" si="37"/>
        <v>31116</v>
      </c>
      <c r="F205" s="120">
        <f t="shared" si="37"/>
        <v>32898</v>
      </c>
      <c r="G205" s="120">
        <f t="shared" si="37"/>
        <v>31985</v>
      </c>
      <c r="H205" s="120">
        <f t="shared" si="37"/>
        <v>39785</v>
      </c>
      <c r="I205" s="120">
        <f t="shared" si="37"/>
        <v>39650</v>
      </c>
      <c r="J205" s="120">
        <f t="shared" si="37"/>
        <v>38961</v>
      </c>
      <c r="K205" s="120">
        <f t="shared" si="37"/>
        <v>39506</v>
      </c>
      <c r="L205" s="120">
        <f t="shared" si="37"/>
        <v>52502</v>
      </c>
      <c r="M205" s="120">
        <f>+M202-M204</f>
        <v>40236</v>
      </c>
      <c r="N205" s="120">
        <f t="shared" si="37"/>
        <v>40636</v>
      </c>
      <c r="O205" s="120">
        <f t="shared" si="37"/>
        <v>38516</v>
      </c>
      <c r="P205" s="396">
        <f>+P202-P204</f>
        <v>27427</v>
      </c>
      <c r="Q205" s="120">
        <v>46603</v>
      </c>
      <c r="R205" s="120">
        <v>45196</v>
      </c>
      <c r="S205" s="120">
        <v>47147</v>
      </c>
      <c r="T205" s="120">
        <f>+T202-T204</f>
        <v>45078</v>
      </c>
      <c r="V205" s="85" t="s">
        <v>52</v>
      </c>
      <c r="W205" s="120">
        <v>45805</v>
      </c>
      <c r="X205" s="120">
        <f>+X202+X204</f>
        <v>69863</v>
      </c>
    </row>
    <row r="206" spans="1:24" ht="15.5">
      <c r="B206" s="78"/>
      <c r="C206" s="78"/>
      <c r="D206" s="78"/>
      <c r="E206" s="78"/>
      <c r="F206" s="78"/>
      <c r="G206" s="78"/>
      <c r="H206" s="78"/>
      <c r="I206" s="78"/>
      <c r="J206" s="78"/>
      <c r="K206" s="78"/>
      <c r="L206" s="78"/>
      <c r="M206" s="78"/>
      <c r="N206" s="78"/>
      <c r="O206" s="78"/>
    </row>
    <row r="207" spans="1:24" ht="15.5">
      <c r="B207" s="78"/>
      <c r="C207" s="78"/>
      <c r="D207" s="78"/>
      <c r="E207" s="78"/>
      <c r="F207" s="78"/>
      <c r="G207" s="78"/>
      <c r="H207" s="78"/>
      <c r="I207" s="78"/>
      <c r="J207" s="78"/>
      <c r="K207" s="78"/>
      <c r="L207" s="78"/>
      <c r="M207" s="78"/>
      <c r="N207" s="78"/>
      <c r="O207" s="78"/>
      <c r="V207" s="639" t="s">
        <v>42</v>
      </c>
      <c r="W207" s="120">
        <v>81127</v>
      </c>
      <c r="X207" s="120">
        <v>107310</v>
      </c>
    </row>
    <row r="208" spans="1:24" ht="15.5">
      <c r="A208" s="56" t="s">
        <v>104</v>
      </c>
      <c r="B208" s="12" t="s">
        <v>1231</v>
      </c>
      <c r="C208" s="78"/>
      <c r="D208" s="78"/>
      <c r="E208" s="78"/>
      <c r="F208" s="78"/>
      <c r="G208" s="78"/>
      <c r="H208" s="78"/>
      <c r="I208" s="78"/>
      <c r="J208" s="78"/>
      <c r="K208" s="78"/>
      <c r="L208" s="78"/>
      <c r="M208" s="78"/>
      <c r="N208" s="78"/>
      <c r="O208" s="78"/>
    </row>
    <row r="209" spans="2:24" ht="15.5">
      <c r="B209" s="14" t="s">
        <v>54</v>
      </c>
      <c r="C209" s="78"/>
      <c r="D209" s="78"/>
      <c r="E209" s="78"/>
      <c r="F209" s="78"/>
      <c r="G209" s="78"/>
      <c r="H209" s="78"/>
      <c r="I209" s="78"/>
      <c r="J209" s="78"/>
      <c r="K209" s="78"/>
      <c r="L209" s="78"/>
      <c r="M209" s="78"/>
      <c r="N209" s="78"/>
      <c r="O209" s="78"/>
    </row>
    <row r="210" spans="2:24" ht="15.5">
      <c r="B210" s="78"/>
      <c r="C210" s="78"/>
      <c r="D210" s="78"/>
      <c r="E210" s="78"/>
      <c r="F210" s="78"/>
      <c r="G210" s="78"/>
      <c r="H210" s="78"/>
      <c r="I210" s="78"/>
      <c r="J210" s="78"/>
      <c r="K210" s="78"/>
      <c r="L210" s="78"/>
      <c r="M210" s="78"/>
      <c r="N210" s="78"/>
      <c r="O210" s="78"/>
    </row>
    <row r="211" spans="2:24" ht="16" thickBot="1">
      <c r="B211" s="123"/>
      <c r="C211" s="345">
        <v>2016</v>
      </c>
      <c r="D211" s="345">
        <v>2017</v>
      </c>
      <c r="E211" s="345" t="s">
        <v>19</v>
      </c>
      <c r="F211" s="345" t="s">
        <v>20</v>
      </c>
      <c r="G211" s="345" t="s">
        <v>21</v>
      </c>
      <c r="H211" s="345" t="s">
        <v>22</v>
      </c>
      <c r="I211" s="345" t="s">
        <v>23</v>
      </c>
      <c r="J211" s="541" t="s">
        <v>24</v>
      </c>
      <c r="K211" s="541" t="s">
        <v>25</v>
      </c>
      <c r="L211" s="541" t="s">
        <v>26</v>
      </c>
      <c r="M211" s="541" t="s">
        <v>27</v>
      </c>
      <c r="N211" s="541" t="s">
        <v>28</v>
      </c>
      <c r="O211" s="541" t="s">
        <v>29</v>
      </c>
      <c r="P211" s="541" t="s">
        <v>722</v>
      </c>
      <c r="Q211" s="541" t="s">
        <v>739</v>
      </c>
      <c r="R211" s="541" t="s">
        <v>912</v>
      </c>
      <c r="S211" s="541" t="s">
        <v>1051</v>
      </c>
      <c r="T211" s="541" t="s">
        <v>1089</v>
      </c>
      <c r="V211" s="123"/>
      <c r="W211" s="541" t="s">
        <v>1109</v>
      </c>
      <c r="X211" s="541" t="s">
        <v>1190</v>
      </c>
    </row>
    <row r="212" spans="2:24" ht="15.5" thickBot="1">
      <c r="B212" s="124" t="s">
        <v>55</v>
      </c>
      <c r="C212" s="125"/>
      <c r="D212" s="125"/>
      <c r="E212" s="125"/>
      <c r="F212" s="125"/>
      <c r="G212" s="125"/>
      <c r="H212" s="125"/>
      <c r="I212" s="125"/>
      <c r="J212" s="125"/>
      <c r="K212" s="125"/>
      <c r="L212" s="125"/>
      <c r="M212" s="124"/>
      <c r="N212" s="124"/>
      <c r="O212" s="124"/>
      <c r="P212" s="124"/>
      <c r="Q212" s="124"/>
      <c r="R212" s="124"/>
      <c r="S212" s="124"/>
      <c r="T212" s="124"/>
      <c r="V212" s="124" t="s">
        <v>55</v>
      </c>
      <c r="W212" s="124"/>
      <c r="X212" s="124"/>
    </row>
    <row r="213" spans="2:24" ht="15.5" thickBot="1">
      <c r="B213" s="126" t="s">
        <v>56</v>
      </c>
      <c r="C213" s="127"/>
      <c r="D213" s="127"/>
      <c r="E213" s="127"/>
      <c r="F213" s="127"/>
      <c r="G213" s="127"/>
      <c r="H213" s="127"/>
      <c r="I213" s="127"/>
      <c r="J213" s="127"/>
      <c r="K213" s="127"/>
      <c r="L213" s="127"/>
      <c r="M213" s="127"/>
      <c r="N213" s="127"/>
      <c r="O213" s="127"/>
      <c r="P213" s="127"/>
      <c r="Q213" s="127"/>
      <c r="R213" s="127"/>
      <c r="S213" s="127"/>
      <c r="T213" s="127"/>
      <c r="V213" s="126" t="s">
        <v>56</v>
      </c>
      <c r="W213" s="127"/>
      <c r="X213" s="127"/>
    </row>
    <row r="214" spans="2:24" ht="16" thickBot="1">
      <c r="B214" s="128" t="s">
        <v>57</v>
      </c>
      <c r="C214" s="117">
        <v>42610</v>
      </c>
      <c r="D214" s="117">
        <v>37156</v>
      </c>
      <c r="E214" s="117">
        <v>25585</v>
      </c>
      <c r="F214" s="117">
        <v>22251</v>
      </c>
      <c r="G214" s="117">
        <v>31573</v>
      </c>
      <c r="H214" s="117">
        <v>47764</v>
      </c>
      <c r="I214" s="117">
        <v>24298</v>
      </c>
      <c r="J214" s="117">
        <v>10663</v>
      </c>
      <c r="K214" s="117">
        <v>25334</v>
      </c>
      <c r="L214" s="117">
        <v>31863</v>
      </c>
      <c r="M214" s="117">
        <v>37743</v>
      </c>
      <c r="N214" s="117">
        <v>59893</v>
      </c>
      <c r="O214" s="117">
        <v>63820</v>
      </c>
      <c r="P214" s="117">
        <v>70596</v>
      </c>
      <c r="Q214" s="98">
        <v>53444</v>
      </c>
      <c r="R214" s="98">
        <v>119605</v>
      </c>
      <c r="S214" s="98">
        <v>134798</v>
      </c>
      <c r="T214" s="98">
        <v>97288</v>
      </c>
      <c r="V214" s="128" t="s">
        <v>57</v>
      </c>
      <c r="W214" s="98">
        <v>51602</v>
      </c>
      <c r="X214" s="98">
        <v>84792</v>
      </c>
    </row>
    <row r="215" spans="2:24" ht="16" thickBot="1">
      <c r="B215" s="128" t="s">
        <v>58</v>
      </c>
      <c r="C215" s="117">
        <v>29125</v>
      </c>
      <c r="D215" s="117">
        <v>31485</v>
      </c>
      <c r="E215" s="117">
        <v>70841</v>
      </c>
      <c r="F215" s="117">
        <v>30922</v>
      </c>
      <c r="G215" s="117">
        <v>32474</v>
      </c>
      <c r="H215" s="117">
        <v>29773</v>
      </c>
      <c r="I215" s="117">
        <v>108812</v>
      </c>
      <c r="J215" s="117">
        <v>31981</v>
      </c>
      <c r="K215" s="117">
        <v>32713</v>
      </c>
      <c r="L215" s="117">
        <f>34215+32941</f>
        <v>67156</v>
      </c>
      <c r="M215" s="117">
        <v>36460</v>
      </c>
      <c r="N215" s="117">
        <v>34033</v>
      </c>
      <c r="O215" s="117">
        <v>33819</v>
      </c>
      <c r="P215" s="117">
        <v>36713</v>
      </c>
      <c r="Q215" s="98">
        <v>88174</v>
      </c>
      <c r="R215" s="98">
        <v>37783</v>
      </c>
      <c r="S215" s="98">
        <v>36873</v>
      </c>
      <c r="T215" s="98">
        <v>38110</v>
      </c>
      <c r="V215" s="128" t="s">
        <v>58</v>
      </c>
      <c r="W215" s="98">
        <v>92248</v>
      </c>
      <c r="X215" s="98">
        <v>55583</v>
      </c>
    </row>
    <row r="216" spans="2:24" ht="16" thickBot="1">
      <c r="B216" s="128" t="s">
        <v>59</v>
      </c>
      <c r="C216" s="117">
        <v>3681</v>
      </c>
      <c r="D216" s="117">
        <v>4512</v>
      </c>
      <c r="E216" s="117">
        <v>10043</v>
      </c>
      <c r="F216" s="117">
        <v>20683</v>
      </c>
      <c r="G216" s="117">
        <v>24653</v>
      </c>
      <c r="H216" s="117">
        <v>5384</v>
      </c>
      <c r="I216" s="117">
        <v>12396</v>
      </c>
      <c r="J216" s="117">
        <v>23934</v>
      </c>
      <c r="K216" s="117">
        <v>28732</v>
      </c>
      <c r="L216" s="117">
        <v>7665</v>
      </c>
      <c r="M216" s="117">
        <v>15716</v>
      </c>
      <c r="N216" s="117">
        <v>25840</v>
      </c>
      <c r="O216" s="117">
        <v>30090</v>
      </c>
      <c r="P216" s="117">
        <v>8649</v>
      </c>
      <c r="Q216" s="98">
        <v>15185</v>
      </c>
      <c r="R216" s="98">
        <v>25709</v>
      </c>
      <c r="S216" s="98">
        <v>30120</v>
      </c>
      <c r="T216" s="98">
        <v>8272</v>
      </c>
      <c r="V216" s="128" t="s">
        <v>59</v>
      </c>
      <c r="W216" s="98">
        <v>8978</v>
      </c>
      <c r="X216" s="98">
        <v>9030</v>
      </c>
    </row>
    <row r="217" spans="2:24" ht="16" thickBot="1">
      <c r="B217" s="128" t="s">
        <v>1090</v>
      </c>
      <c r="C217" s="117"/>
      <c r="D217" s="117"/>
      <c r="E217" s="117"/>
      <c r="F217" s="117"/>
      <c r="G217" s="117"/>
      <c r="H217" s="117"/>
      <c r="I217" s="117"/>
      <c r="J217" s="117"/>
      <c r="K217" s="117"/>
      <c r="L217" s="117"/>
      <c r="M217" s="117"/>
      <c r="N217" s="117"/>
      <c r="O217" s="117"/>
      <c r="P217" s="117"/>
      <c r="Q217" s="98"/>
      <c r="R217" s="98"/>
      <c r="S217" s="98"/>
      <c r="T217" s="98">
        <v>2743</v>
      </c>
      <c r="V217" s="128" t="s">
        <v>1090</v>
      </c>
      <c r="W217" s="98">
        <v>2743</v>
      </c>
      <c r="X217" s="98">
        <v>2743</v>
      </c>
    </row>
    <row r="218" spans="2:24" ht="16" thickBot="1">
      <c r="B218" s="128" t="s">
        <v>61</v>
      </c>
      <c r="C218" s="117">
        <v>3480</v>
      </c>
      <c r="D218" s="117">
        <v>2318</v>
      </c>
      <c r="E218" s="117">
        <v>950</v>
      </c>
      <c r="F218" s="117">
        <v>332</v>
      </c>
      <c r="G218" s="117">
        <v>3435</v>
      </c>
      <c r="H218" s="117">
        <v>2759</v>
      </c>
      <c r="I218" s="117">
        <v>3245</v>
      </c>
      <c r="J218" s="117">
        <v>3389</v>
      </c>
      <c r="K218" s="117">
        <v>2381</v>
      </c>
      <c r="L218" s="117">
        <v>1654</v>
      </c>
      <c r="M218" s="117">
        <v>4461</v>
      </c>
      <c r="N218" s="117">
        <v>3550</v>
      </c>
      <c r="O218" s="117">
        <v>2747</v>
      </c>
      <c r="P218" s="117">
        <v>3933</v>
      </c>
      <c r="Q218" s="98">
        <v>3430</v>
      </c>
      <c r="R218" s="98">
        <v>2204</v>
      </c>
      <c r="S218" s="98">
        <v>8347</v>
      </c>
      <c r="T218" s="98">
        <v>7649</v>
      </c>
      <c r="V218" s="128" t="s">
        <v>61</v>
      </c>
      <c r="W218" s="98">
        <v>7310</v>
      </c>
      <c r="X218" s="98">
        <v>9733</v>
      </c>
    </row>
    <row r="219" spans="2:24" ht="16" thickBot="1">
      <c r="B219" s="128" t="s">
        <v>62</v>
      </c>
      <c r="C219" s="117">
        <v>777</v>
      </c>
      <c r="D219" s="117">
        <v>805</v>
      </c>
      <c r="E219" s="117">
        <v>-244886</v>
      </c>
      <c r="F219" s="117">
        <v>-244886</v>
      </c>
      <c r="G219" s="117">
        <v>0</v>
      </c>
      <c r="H219" s="117">
        <v>1790</v>
      </c>
      <c r="I219" s="117">
        <v>0</v>
      </c>
      <c r="J219" s="117">
        <v>0</v>
      </c>
      <c r="K219" s="117">
        <v>0</v>
      </c>
      <c r="L219" s="117">
        <v>1088</v>
      </c>
      <c r="M219" s="117">
        <v>0</v>
      </c>
      <c r="N219" s="117">
        <v>0</v>
      </c>
      <c r="O219" s="117">
        <v>0</v>
      </c>
      <c r="P219" s="117"/>
      <c r="Q219" s="98"/>
      <c r="R219" s="98"/>
      <c r="S219" s="98">
        <v>0</v>
      </c>
      <c r="T219" s="98">
        <v>60798</v>
      </c>
      <c r="V219" s="128" t="s">
        <v>62</v>
      </c>
      <c r="W219" s="98">
        <v>85321</v>
      </c>
      <c r="X219" s="98">
        <v>86995</v>
      </c>
    </row>
    <row r="220" spans="2:24" ht="15.5" thickBot="1">
      <c r="B220" s="129" t="s">
        <v>63</v>
      </c>
      <c r="C220" s="130">
        <f t="shared" ref="C220:N220" si="38">SUM(C214:C219)</f>
        <v>79673</v>
      </c>
      <c r="D220" s="130">
        <f t="shared" si="38"/>
        <v>76276</v>
      </c>
      <c r="E220" s="130">
        <f t="shared" si="38"/>
        <v>-137467</v>
      </c>
      <c r="F220" s="130">
        <f t="shared" si="38"/>
        <v>-170698</v>
      </c>
      <c r="G220" s="130">
        <f t="shared" si="38"/>
        <v>92135</v>
      </c>
      <c r="H220" s="130">
        <f t="shared" si="38"/>
        <v>87470</v>
      </c>
      <c r="I220" s="130">
        <f t="shared" si="38"/>
        <v>148751</v>
      </c>
      <c r="J220" s="130">
        <f t="shared" si="38"/>
        <v>69967</v>
      </c>
      <c r="K220" s="130">
        <f t="shared" si="38"/>
        <v>89160</v>
      </c>
      <c r="L220" s="130">
        <f t="shared" si="38"/>
        <v>109426</v>
      </c>
      <c r="M220" s="130">
        <f t="shared" si="38"/>
        <v>94380</v>
      </c>
      <c r="N220" s="130">
        <f t="shared" si="38"/>
        <v>123316</v>
      </c>
      <c r="O220" s="130">
        <v>130476</v>
      </c>
      <c r="P220" s="130">
        <v>119891</v>
      </c>
      <c r="Q220" s="100">
        <v>160233</v>
      </c>
      <c r="R220" s="100">
        <v>185301</v>
      </c>
      <c r="S220" s="100">
        <v>210138</v>
      </c>
      <c r="T220" s="130">
        <f>SUM(T214:T219)</f>
        <v>214860</v>
      </c>
      <c r="V220" s="129" t="s">
        <v>63</v>
      </c>
      <c r="W220" s="130">
        <f>SUM(W214:W219)</f>
        <v>248202</v>
      </c>
      <c r="X220" s="130">
        <f>SUM(X214:X219)</f>
        <v>248876</v>
      </c>
    </row>
    <row r="221" spans="2:24" ht="15.5" thickBot="1">
      <c r="B221" s="126" t="s">
        <v>64</v>
      </c>
      <c r="C221" s="127"/>
      <c r="D221" s="127"/>
      <c r="E221" s="127"/>
      <c r="F221" s="127"/>
      <c r="G221" s="127"/>
      <c r="H221" s="127"/>
      <c r="I221" s="127"/>
      <c r="J221" s="127"/>
      <c r="K221" s="127"/>
      <c r="L221" s="127"/>
      <c r="M221" s="127"/>
      <c r="N221" s="127"/>
      <c r="O221" s="127"/>
      <c r="P221" s="127"/>
      <c r="Q221" s="362"/>
      <c r="R221" s="362"/>
      <c r="S221" s="362"/>
      <c r="T221" s="623"/>
      <c r="V221" s="126" t="s">
        <v>64</v>
      </c>
      <c r="W221" s="623"/>
      <c r="X221" s="623"/>
    </row>
    <row r="222" spans="2:24" ht="16" thickBot="1">
      <c r="B222" s="128" t="s">
        <v>65</v>
      </c>
      <c r="C222" s="117">
        <v>35</v>
      </c>
      <c r="D222" s="117">
        <v>35</v>
      </c>
      <c r="E222" s="117">
        <v>35</v>
      </c>
      <c r="F222" s="117">
        <v>35</v>
      </c>
      <c r="G222" s="117">
        <v>35</v>
      </c>
      <c r="H222" s="117">
        <v>35</v>
      </c>
      <c r="I222" s="117">
        <v>35</v>
      </c>
      <c r="J222" s="117">
        <v>35</v>
      </c>
      <c r="K222" s="117">
        <v>35</v>
      </c>
      <c r="L222" s="117">
        <v>35</v>
      </c>
      <c r="M222" s="117">
        <v>35</v>
      </c>
      <c r="N222" s="117">
        <v>35</v>
      </c>
      <c r="O222" s="117">
        <v>35</v>
      </c>
      <c r="P222" s="117">
        <v>35</v>
      </c>
      <c r="Q222" s="117">
        <v>35</v>
      </c>
      <c r="R222" s="117">
        <v>35</v>
      </c>
      <c r="S222" s="117">
        <v>35</v>
      </c>
      <c r="T222" s="98">
        <v>35</v>
      </c>
      <c r="V222" s="128" t="s">
        <v>65</v>
      </c>
      <c r="W222" s="98">
        <v>35</v>
      </c>
      <c r="X222" s="98">
        <v>35</v>
      </c>
    </row>
    <row r="223" spans="2:24" ht="16" thickBot="1">
      <c r="B223" s="128" t="s">
        <v>66</v>
      </c>
      <c r="C223" s="117">
        <v>0</v>
      </c>
      <c r="D223" s="117">
        <v>0</v>
      </c>
      <c r="E223" s="117">
        <v>149</v>
      </c>
      <c r="F223" s="117">
        <v>229</v>
      </c>
      <c r="G223" s="117">
        <v>0</v>
      </c>
      <c r="H223" s="117">
        <v>0</v>
      </c>
      <c r="I223" s="117">
        <v>0</v>
      </c>
      <c r="J223" s="117">
        <v>0</v>
      </c>
      <c r="K223" s="117">
        <v>0</v>
      </c>
      <c r="L223" s="117">
        <v>0</v>
      </c>
      <c r="M223" s="117">
        <v>0</v>
      </c>
      <c r="N223" s="117">
        <v>0</v>
      </c>
      <c r="O223" s="117">
        <v>0</v>
      </c>
      <c r="P223" s="117"/>
      <c r="Q223" s="117"/>
      <c r="R223" s="117"/>
      <c r="S223" s="117">
        <v>0</v>
      </c>
      <c r="T223" s="117"/>
      <c r="V223" s="128" t="s">
        <v>66</v>
      </c>
      <c r="W223" s="117"/>
      <c r="X223" s="117"/>
    </row>
    <row r="224" spans="2:24" ht="16" thickBot="1">
      <c r="B224" s="128" t="s">
        <v>125</v>
      </c>
      <c r="C224" s="117">
        <v>280143</v>
      </c>
      <c r="D224" s="117">
        <v>280139</v>
      </c>
      <c r="E224" s="117">
        <v>226598</v>
      </c>
      <c r="F224" s="117">
        <v>255055</v>
      </c>
      <c r="G224" s="117">
        <v>275379</v>
      </c>
      <c r="H224" s="117">
        <v>309078</v>
      </c>
      <c r="I224" s="117">
        <v>243120</v>
      </c>
      <c r="J224" s="117">
        <v>265428</v>
      </c>
      <c r="K224" s="117">
        <v>309217</v>
      </c>
      <c r="L224" s="117">
        <v>299686</v>
      </c>
      <c r="M224" s="117">
        <v>382551</v>
      </c>
      <c r="N224" s="117">
        <v>278218</v>
      </c>
      <c r="O224" s="117">
        <v>310373</v>
      </c>
      <c r="P224" s="117">
        <v>294143</v>
      </c>
      <c r="Q224" s="117">
        <v>282145</v>
      </c>
      <c r="R224" s="117">
        <v>306974</v>
      </c>
      <c r="S224" s="117">
        <v>308253</v>
      </c>
      <c r="T224" s="98">
        <v>314562</v>
      </c>
      <c r="V224" s="128" t="s">
        <v>125</v>
      </c>
      <c r="W224" s="98">
        <v>258997</v>
      </c>
      <c r="X224" s="98">
        <v>308396</v>
      </c>
    </row>
    <row r="225" spans="2:24" ht="16" thickBot="1">
      <c r="B225" s="128" t="s">
        <v>114</v>
      </c>
      <c r="C225" s="117">
        <v>0</v>
      </c>
      <c r="D225" s="117">
        <v>0</v>
      </c>
      <c r="E225" s="117">
        <v>0</v>
      </c>
      <c r="F225" s="117">
        <v>0</v>
      </c>
      <c r="G225" s="117">
        <v>0</v>
      </c>
      <c r="H225" s="117">
        <v>0</v>
      </c>
      <c r="I225" s="117">
        <v>0</v>
      </c>
      <c r="J225" s="117">
        <v>0</v>
      </c>
      <c r="K225" s="117">
        <v>0</v>
      </c>
      <c r="L225" s="117">
        <v>0</v>
      </c>
      <c r="M225" s="117">
        <v>0</v>
      </c>
      <c r="N225" s="117">
        <v>0</v>
      </c>
      <c r="O225" s="117">
        <v>0</v>
      </c>
      <c r="P225" s="117"/>
      <c r="Q225" s="117"/>
      <c r="R225" s="117"/>
      <c r="S225" s="117">
        <v>0</v>
      </c>
      <c r="T225" s="98"/>
      <c r="V225" s="128" t="s">
        <v>114</v>
      </c>
      <c r="W225" s="98"/>
      <c r="X225" s="98"/>
    </row>
    <row r="226" spans="2:24" ht="16" thickBot="1">
      <c r="B226" s="128" t="s">
        <v>58</v>
      </c>
      <c r="C226" s="117">
        <v>5133</v>
      </c>
      <c r="D226" s="117">
        <v>4625</v>
      </c>
      <c r="E226" s="117">
        <v>62908</v>
      </c>
      <c r="F226" s="117">
        <v>65236</v>
      </c>
      <c r="G226" s="117">
        <v>67390</v>
      </c>
      <c r="H226" s="117">
        <v>4269</v>
      </c>
      <c r="I226" s="117">
        <v>72405</v>
      </c>
      <c r="J226" s="117">
        <v>74865</v>
      </c>
      <c r="K226" s="117">
        <v>77275</v>
      </c>
      <c r="L226" s="117">
        <v>3475</v>
      </c>
      <c r="M226" s="117">
        <v>82551</v>
      </c>
      <c r="N226" s="117">
        <v>84812</v>
      </c>
      <c r="O226" s="117">
        <v>86806</v>
      </c>
      <c r="P226" s="117">
        <v>88413</v>
      </c>
      <c r="Q226" s="117">
        <v>4382</v>
      </c>
      <c r="R226" s="117">
        <v>4845</v>
      </c>
      <c r="S226" s="117">
        <v>5193</v>
      </c>
      <c r="T226" s="98">
        <v>5315</v>
      </c>
      <c r="V226" s="128" t="s">
        <v>58</v>
      </c>
      <c r="W226" s="98">
        <v>5462</v>
      </c>
      <c r="X226" s="98">
        <v>5817</v>
      </c>
    </row>
    <row r="227" spans="2:24" ht="16" thickBot="1">
      <c r="B227" s="128" t="s">
        <v>69</v>
      </c>
      <c r="C227" s="117">
        <v>7925</v>
      </c>
      <c r="D227" s="117">
        <v>8121</v>
      </c>
      <c r="E227" s="117">
        <v>8388</v>
      </c>
      <c r="F227" s="117">
        <v>8997</v>
      </c>
      <c r="G227" s="117">
        <v>9117</v>
      </c>
      <c r="H227" s="117">
        <v>8162</v>
      </c>
      <c r="I227" s="117">
        <v>8307</v>
      </c>
      <c r="J227" s="117">
        <v>8224</v>
      </c>
      <c r="K227" s="117">
        <v>8267</v>
      </c>
      <c r="L227" s="117">
        <v>7979</v>
      </c>
      <c r="M227" s="117">
        <v>7411</v>
      </c>
      <c r="N227" s="117">
        <v>7455</v>
      </c>
      <c r="O227" s="117">
        <v>7450</v>
      </c>
      <c r="P227" s="117">
        <v>6900</v>
      </c>
      <c r="Q227" s="117">
        <v>6885</v>
      </c>
      <c r="R227" s="117">
        <v>7384</v>
      </c>
      <c r="S227" s="117">
        <v>7267</v>
      </c>
      <c r="T227" s="98">
        <v>4584</v>
      </c>
      <c r="V227" s="128" t="s">
        <v>69</v>
      </c>
      <c r="W227" s="98">
        <v>4533</v>
      </c>
      <c r="X227" s="98">
        <v>4847</v>
      </c>
    </row>
    <row r="228" spans="2:24" ht="16" thickBot="1">
      <c r="B228" s="128" t="s">
        <v>70</v>
      </c>
      <c r="C228" s="117">
        <v>689893</v>
      </c>
      <c r="D228" s="117">
        <v>671689</v>
      </c>
      <c r="E228" s="117">
        <v>669300</v>
      </c>
      <c r="F228" s="117">
        <v>666224</v>
      </c>
      <c r="G228" s="117">
        <v>661293</v>
      </c>
      <c r="H228" s="117">
        <v>658200</v>
      </c>
      <c r="I228" s="117">
        <v>666854</v>
      </c>
      <c r="J228" s="117">
        <v>667232</v>
      </c>
      <c r="K228" s="117">
        <v>666296</v>
      </c>
      <c r="L228" s="117">
        <v>651255</v>
      </c>
      <c r="M228" s="117">
        <v>660784</v>
      </c>
      <c r="N228" s="117">
        <v>657478</v>
      </c>
      <c r="O228" s="117">
        <v>654846</v>
      </c>
      <c r="P228" s="117">
        <v>644132</v>
      </c>
      <c r="Q228" s="117">
        <v>653206</v>
      </c>
      <c r="R228" s="117">
        <v>652076</v>
      </c>
      <c r="S228" s="117">
        <v>655882</v>
      </c>
      <c r="T228" s="98">
        <v>677840</v>
      </c>
      <c r="V228" s="128" t="s">
        <v>70</v>
      </c>
      <c r="W228" s="98">
        <v>688237</v>
      </c>
      <c r="X228" s="98">
        <v>695290</v>
      </c>
    </row>
    <row r="229" spans="2:24" ht="16" thickBot="1">
      <c r="B229" s="128" t="s">
        <v>71</v>
      </c>
      <c r="C229" s="117">
        <v>0</v>
      </c>
      <c r="D229" s="117">
        <v>0</v>
      </c>
      <c r="E229" s="117">
        <v>0</v>
      </c>
      <c r="F229" s="117">
        <v>0</v>
      </c>
      <c r="G229" s="117">
        <v>0</v>
      </c>
      <c r="H229" s="117">
        <v>0</v>
      </c>
      <c r="I229" s="117">
        <v>0</v>
      </c>
      <c r="J229" s="117">
        <v>0</v>
      </c>
      <c r="K229" s="117">
        <v>0</v>
      </c>
      <c r="L229" s="117">
        <v>0</v>
      </c>
      <c r="M229" s="117">
        <v>0</v>
      </c>
      <c r="N229" s="117">
        <v>0</v>
      </c>
      <c r="O229" s="117">
        <v>0</v>
      </c>
      <c r="P229" s="117"/>
      <c r="Q229" s="117"/>
      <c r="R229" s="117"/>
      <c r="S229" s="117">
        <v>0</v>
      </c>
      <c r="T229" s="98"/>
      <c r="V229" s="128" t="s">
        <v>71</v>
      </c>
      <c r="W229" s="98"/>
      <c r="X229" s="98"/>
    </row>
    <row r="230" spans="2:24" ht="16" thickBot="1">
      <c r="B230" s="128" t="s">
        <v>73</v>
      </c>
      <c r="C230" s="117">
        <v>10973</v>
      </c>
      <c r="D230" s="117">
        <v>11103</v>
      </c>
      <c r="E230" s="117">
        <v>10974</v>
      </c>
      <c r="F230" s="117">
        <v>10889</v>
      </c>
      <c r="G230" s="117">
        <v>10813</v>
      </c>
      <c r="H230" s="117">
        <v>10856</v>
      </c>
      <c r="I230" s="117">
        <v>12995</v>
      </c>
      <c r="J230" s="117">
        <v>12858</v>
      </c>
      <c r="K230" s="117">
        <v>14363</v>
      </c>
      <c r="L230" s="117">
        <v>11187</v>
      </c>
      <c r="M230" s="117">
        <v>13338</v>
      </c>
      <c r="N230" s="117">
        <v>11816</v>
      </c>
      <c r="O230" s="117">
        <v>12407</v>
      </c>
      <c r="P230" s="117">
        <v>11880</v>
      </c>
      <c r="Q230" s="117">
        <v>13496</v>
      </c>
      <c r="R230" s="117">
        <v>13864</v>
      </c>
      <c r="S230" s="117">
        <v>12575</v>
      </c>
      <c r="T230" s="98">
        <v>15257</v>
      </c>
      <c r="V230" s="128" t="s">
        <v>73</v>
      </c>
      <c r="W230" s="98">
        <v>15047</v>
      </c>
      <c r="X230" s="98">
        <v>14828</v>
      </c>
    </row>
    <row r="231" spans="2:24" ht="16" thickBot="1">
      <c r="B231" s="128" t="s">
        <v>61</v>
      </c>
      <c r="C231" s="117">
        <v>0</v>
      </c>
      <c r="D231" s="117">
        <v>0</v>
      </c>
      <c r="E231" s="117">
        <v>0</v>
      </c>
      <c r="F231" s="117">
        <v>0</v>
      </c>
      <c r="G231" s="117">
        <v>0</v>
      </c>
      <c r="H231" s="117">
        <v>0</v>
      </c>
      <c r="I231" s="117">
        <v>0</v>
      </c>
      <c r="J231" s="117">
        <v>0</v>
      </c>
      <c r="K231" s="117">
        <v>0</v>
      </c>
      <c r="L231" s="117">
        <v>0</v>
      </c>
      <c r="M231" s="117">
        <v>0</v>
      </c>
      <c r="N231" s="117">
        <v>0</v>
      </c>
      <c r="O231" s="117">
        <v>0</v>
      </c>
      <c r="P231" s="117"/>
      <c r="Q231" s="117"/>
      <c r="R231" s="117"/>
      <c r="S231" s="117">
        <v>0</v>
      </c>
      <c r="T231" s="98"/>
      <c r="V231" s="128" t="s">
        <v>61</v>
      </c>
      <c r="W231" s="98"/>
      <c r="X231" s="98"/>
    </row>
    <row r="232" spans="2:24" ht="16" thickBot="1">
      <c r="B232" s="128" t="s">
        <v>74</v>
      </c>
      <c r="C232" s="117">
        <v>33958</v>
      </c>
      <c r="D232" s="117">
        <v>36061</v>
      </c>
      <c r="E232" s="117">
        <v>36310</v>
      </c>
      <c r="F232" s="117">
        <v>35583</v>
      </c>
      <c r="G232" s="117">
        <v>35543</v>
      </c>
      <c r="H232" s="117">
        <v>35252</v>
      </c>
      <c r="I232" s="117">
        <v>35002</v>
      </c>
      <c r="J232" s="117">
        <v>34590</v>
      </c>
      <c r="K232" s="117">
        <v>34115</v>
      </c>
      <c r="L232" s="117">
        <v>33100</v>
      </c>
      <c r="M232" s="117">
        <v>33094</v>
      </c>
      <c r="N232" s="117">
        <v>31937</v>
      </c>
      <c r="O232" s="117">
        <v>31447</v>
      </c>
      <c r="P232" s="117">
        <v>31875</v>
      </c>
      <c r="Q232" s="117">
        <v>32097</v>
      </c>
      <c r="R232" s="117">
        <v>32213</v>
      </c>
      <c r="S232" s="117">
        <v>37440</v>
      </c>
      <c r="T232" s="98"/>
      <c r="V232" s="128" t="s">
        <v>74</v>
      </c>
      <c r="W232" s="98"/>
      <c r="X232" s="98"/>
    </row>
    <row r="233" spans="2:24" ht="16" thickBot="1">
      <c r="B233" s="128" t="s">
        <v>75</v>
      </c>
      <c r="C233" s="117">
        <v>748</v>
      </c>
      <c r="D233" s="117">
        <v>492</v>
      </c>
      <c r="E233" s="117">
        <v>427</v>
      </c>
      <c r="F233" s="117">
        <v>363</v>
      </c>
      <c r="G233" s="117">
        <v>299</v>
      </c>
      <c r="H233" s="117">
        <v>12936</v>
      </c>
      <c r="I233" s="117">
        <v>171</v>
      </c>
      <c r="J233" s="117">
        <v>103</v>
      </c>
      <c r="K233" s="117">
        <v>41</v>
      </c>
      <c r="L233" s="117">
        <v>13464</v>
      </c>
      <c r="M233" s="117">
        <v>436</v>
      </c>
      <c r="N233" s="117">
        <v>1211</v>
      </c>
      <c r="O233" s="117">
        <v>1813</v>
      </c>
      <c r="P233" s="117">
        <v>14102</v>
      </c>
      <c r="Q233" s="117">
        <v>0</v>
      </c>
      <c r="R233" s="117">
        <v>0</v>
      </c>
      <c r="S233" s="117">
        <v>0</v>
      </c>
      <c r="T233" s="98"/>
      <c r="V233" s="128" t="s">
        <v>75</v>
      </c>
      <c r="W233" s="98"/>
      <c r="X233" s="98"/>
    </row>
    <row r="234" spans="2:24" ht="16" thickBot="1">
      <c r="B234" s="128" t="s">
        <v>126</v>
      </c>
      <c r="C234" s="117">
        <v>0</v>
      </c>
      <c r="D234" s="117">
        <v>0</v>
      </c>
      <c r="E234" s="117">
        <v>0</v>
      </c>
      <c r="F234" s="117">
        <v>0</v>
      </c>
      <c r="G234" s="117">
        <v>0</v>
      </c>
      <c r="H234" s="117">
        <v>0</v>
      </c>
      <c r="I234" s="117">
        <v>0</v>
      </c>
      <c r="J234" s="117">
        <v>0</v>
      </c>
      <c r="K234" s="117">
        <v>0</v>
      </c>
      <c r="L234" s="117">
        <v>1390</v>
      </c>
      <c r="M234" s="117">
        <v>0</v>
      </c>
      <c r="N234" s="117">
        <v>1781</v>
      </c>
      <c r="O234" s="117">
        <v>410</v>
      </c>
      <c r="P234" s="117">
        <v>402</v>
      </c>
      <c r="Q234" s="117">
        <v>0</v>
      </c>
      <c r="R234" s="117">
        <v>0</v>
      </c>
      <c r="S234" s="117">
        <v>0</v>
      </c>
      <c r="T234" s="98"/>
      <c r="V234" s="128" t="s">
        <v>126</v>
      </c>
      <c r="W234" s="98"/>
      <c r="X234" s="98"/>
    </row>
    <row r="235" spans="2:24" ht="16" thickBot="1">
      <c r="B235" s="128" t="s">
        <v>62</v>
      </c>
      <c r="C235" s="117">
        <v>288769</v>
      </c>
      <c r="D235" s="117">
        <v>300348</v>
      </c>
      <c r="E235" s="117">
        <v>489773</v>
      </c>
      <c r="F235" s="117">
        <v>489773</v>
      </c>
      <c r="G235" s="117">
        <v>244886</v>
      </c>
      <c r="H235" s="117">
        <v>310677</v>
      </c>
      <c r="I235" s="117">
        <v>244886</v>
      </c>
      <c r="J235" s="117">
        <v>244886</v>
      </c>
      <c r="K235" s="117">
        <v>244886</v>
      </c>
      <c r="L235" s="117">
        <v>321301</v>
      </c>
      <c r="M235" s="117">
        <v>244886</v>
      </c>
      <c r="N235" s="117">
        <v>244886</v>
      </c>
      <c r="O235" s="117">
        <v>244886</v>
      </c>
      <c r="P235" s="117">
        <v>244886</v>
      </c>
      <c r="Q235" s="117">
        <v>330972</v>
      </c>
      <c r="R235" s="117">
        <v>332442</v>
      </c>
      <c r="S235" s="117">
        <v>334004</v>
      </c>
      <c r="T235" s="98">
        <v>275163</v>
      </c>
      <c r="V235" s="128" t="s">
        <v>62</v>
      </c>
      <c r="W235" s="98">
        <v>253107</v>
      </c>
      <c r="X235" s="98">
        <v>255266</v>
      </c>
    </row>
    <row r="236" spans="2:24" ht="15.5" thickBot="1">
      <c r="B236" s="126" t="s">
        <v>77</v>
      </c>
      <c r="C236" s="131">
        <f t="shared" ref="C236:N236" si="39">SUM(C222:C235)</f>
        <v>1317577</v>
      </c>
      <c r="D236" s="131">
        <f t="shared" si="39"/>
        <v>1312613</v>
      </c>
      <c r="E236" s="131">
        <f t="shared" si="39"/>
        <v>1504862</v>
      </c>
      <c r="F236" s="131">
        <f t="shared" si="39"/>
        <v>1532384</v>
      </c>
      <c r="G236" s="131">
        <f t="shared" si="39"/>
        <v>1304755</v>
      </c>
      <c r="H236" s="131">
        <f t="shared" si="39"/>
        <v>1349465</v>
      </c>
      <c r="I236" s="131">
        <f t="shared" si="39"/>
        <v>1283775</v>
      </c>
      <c r="J236" s="131">
        <f t="shared" si="39"/>
        <v>1308221</v>
      </c>
      <c r="K236" s="131">
        <f t="shared" si="39"/>
        <v>1354495</v>
      </c>
      <c r="L236" s="131">
        <f t="shared" si="39"/>
        <v>1342872</v>
      </c>
      <c r="M236" s="131">
        <f t="shared" si="39"/>
        <v>1425086</v>
      </c>
      <c r="N236" s="131">
        <f t="shared" si="39"/>
        <v>1319629</v>
      </c>
      <c r="O236" s="131">
        <v>1350473</v>
      </c>
      <c r="P236" s="131">
        <v>1336768</v>
      </c>
      <c r="Q236" s="131">
        <v>1323218</v>
      </c>
      <c r="R236" s="131">
        <v>1349833</v>
      </c>
      <c r="S236" s="131">
        <v>1360649</v>
      </c>
      <c r="T236" s="131">
        <f t="shared" ref="T236" si="40">SUM(T222:T235)</f>
        <v>1292756</v>
      </c>
      <c r="V236" s="126" t="s">
        <v>77</v>
      </c>
      <c r="W236" s="131">
        <f t="shared" ref="W236" si="41">SUM(W222:W235)</f>
        <v>1225418</v>
      </c>
      <c r="X236" s="131">
        <f t="shared" ref="X236" si="42">SUM(X222:X235)</f>
        <v>1284479</v>
      </c>
    </row>
    <row r="237" spans="2:24" ht="15.5" thickBot="1">
      <c r="B237" s="132" t="s">
        <v>78</v>
      </c>
      <c r="C237" s="133">
        <f t="shared" ref="C237:N237" si="43">+C220+C236</f>
        <v>1397250</v>
      </c>
      <c r="D237" s="133">
        <f t="shared" si="43"/>
        <v>1388889</v>
      </c>
      <c r="E237" s="133">
        <f t="shared" si="43"/>
        <v>1367395</v>
      </c>
      <c r="F237" s="133">
        <f t="shared" si="43"/>
        <v>1361686</v>
      </c>
      <c r="G237" s="133">
        <f t="shared" si="43"/>
        <v>1396890</v>
      </c>
      <c r="H237" s="133">
        <f t="shared" si="43"/>
        <v>1436935</v>
      </c>
      <c r="I237" s="133">
        <f t="shared" si="43"/>
        <v>1432526</v>
      </c>
      <c r="J237" s="133">
        <f t="shared" si="43"/>
        <v>1378188</v>
      </c>
      <c r="K237" s="133">
        <f t="shared" si="43"/>
        <v>1443655</v>
      </c>
      <c r="L237" s="133">
        <f t="shared" si="43"/>
        <v>1452298</v>
      </c>
      <c r="M237" s="133">
        <f t="shared" si="43"/>
        <v>1519466</v>
      </c>
      <c r="N237" s="133">
        <f t="shared" si="43"/>
        <v>1442945</v>
      </c>
      <c r="O237" s="133">
        <v>1480949</v>
      </c>
      <c r="P237" s="133">
        <v>1456659</v>
      </c>
      <c r="Q237" s="133">
        <v>1483451</v>
      </c>
      <c r="R237" s="133">
        <v>1535134</v>
      </c>
      <c r="S237" s="133">
        <v>1570787</v>
      </c>
      <c r="T237" s="133">
        <f t="shared" ref="T237" si="44">+T220+T236</f>
        <v>1507616</v>
      </c>
      <c r="V237" s="132" t="s">
        <v>78</v>
      </c>
      <c r="W237" s="133">
        <f t="shared" ref="W237:X237" si="45">+W220+W236</f>
        <v>1473620</v>
      </c>
      <c r="X237" s="133">
        <f t="shared" si="45"/>
        <v>1533355</v>
      </c>
    </row>
    <row r="238" spans="2:24" ht="15.5" thickBot="1">
      <c r="B238" s="134"/>
      <c r="C238" s="135"/>
      <c r="D238" s="135"/>
      <c r="E238" s="135"/>
      <c r="F238" s="135"/>
      <c r="G238" s="135"/>
      <c r="H238" s="135"/>
      <c r="I238" s="135"/>
      <c r="J238" s="135"/>
      <c r="K238" s="135"/>
      <c r="L238" s="135"/>
      <c r="M238" s="135"/>
      <c r="N238" s="135"/>
      <c r="O238" s="135"/>
      <c r="P238" s="135"/>
      <c r="Q238" s="135"/>
      <c r="R238" s="135"/>
      <c r="S238" s="135">
        <v>0</v>
      </c>
      <c r="T238" s="187"/>
      <c r="V238" s="134"/>
      <c r="W238" s="187"/>
      <c r="X238" s="187"/>
    </row>
    <row r="239" spans="2:24" ht="15.5" thickBot="1">
      <c r="B239" s="124" t="s">
        <v>79</v>
      </c>
      <c r="C239" s="136"/>
      <c r="D239" s="136"/>
      <c r="E239" s="136"/>
      <c r="F239" s="136"/>
      <c r="G239" s="136"/>
      <c r="H239" s="136"/>
      <c r="I239" s="136"/>
      <c r="J239" s="136"/>
      <c r="K239" s="136"/>
      <c r="L239" s="136"/>
      <c r="M239" s="136"/>
      <c r="N239" s="136"/>
      <c r="O239" s="136"/>
      <c r="P239" s="136"/>
      <c r="Q239" s="136"/>
      <c r="R239" s="136"/>
      <c r="S239" s="136"/>
      <c r="T239" s="189"/>
      <c r="V239" s="124" t="s">
        <v>79</v>
      </c>
      <c r="W239" s="189"/>
      <c r="X239" s="189"/>
    </row>
    <row r="240" spans="2:24" ht="15.5" thickBot="1">
      <c r="B240" s="126" t="s">
        <v>80</v>
      </c>
      <c r="C240" s="137"/>
      <c r="D240" s="137"/>
      <c r="E240" s="137"/>
      <c r="F240" s="137"/>
      <c r="G240" s="137"/>
      <c r="H240" s="137"/>
      <c r="I240" s="137"/>
      <c r="J240" s="137"/>
      <c r="K240" s="137"/>
      <c r="L240" s="137"/>
      <c r="M240" s="137"/>
      <c r="N240" s="137"/>
      <c r="O240" s="137"/>
      <c r="P240" s="137"/>
      <c r="Q240" s="137"/>
      <c r="R240" s="137"/>
      <c r="S240" s="137"/>
      <c r="T240" s="190"/>
      <c r="V240" s="126" t="s">
        <v>80</v>
      </c>
      <c r="W240" s="190"/>
      <c r="X240" s="190"/>
    </row>
    <row r="241" spans="2:24" ht="16" thickBot="1">
      <c r="B241" s="128" t="s">
        <v>81</v>
      </c>
      <c r="C241" s="117">
        <f>3192+32107+241</f>
        <v>35540</v>
      </c>
      <c r="D241" s="117">
        <f>3326+16174+247</f>
        <v>19747</v>
      </c>
      <c r="E241" s="117">
        <v>32331</v>
      </c>
      <c r="F241" s="117">
        <v>45412</v>
      </c>
      <c r="G241" s="117">
        <v>67809</v>
      </c>
      <c r="H241" s="117">
        <f>3124+68966+61</f>
        <v>72151</v>
      </c>
      <c r="I241" s="117">
        <v>4273</v>
      </c>
      <c r="J241" s="117">
        <v>4409</v>
      </c>
      <c r="K241" s="117">
        <v>10704</v>
      </c>
      <c r="L241" s="117">
        <f>3211+1500+607</f>
        <v>5318</v>
      </c>
      <c r="M241" s="117">
        <v>4502</v>
      </c>
      <c r="N241" s="117">
        <v>4095</v>
      </c>
      <c r="O241" s="117">
        <v>3568</v>
      </c>
      <c r="P241" s="117">
        <v>83349</v>
      </c>
      <c r="Q241" s="117">
        <v>83178</v>
      </c>
      <c r="R241" s="117">
        <v>90929</v>
      </c>
      <c r="S241" s="117">
        <v>101938</v>
      </c>
      <c r="T241" s="117">
        <v>5226</v>
      </c>
      <c r="V241" s="128" t="s">
        <v>81</v>
      </c>
      <c r="W241" s="117">
        <v>6648</v>
      </c>
      <c r="X241" s="117">
        <v>8531</v>
      </c>
    </row>
    <row r="242" spans="2:24" ht="16" thickBot="1">
      <c r="B242" s="128" t="s">
        <v>82</v>
      </c>
      <c r="C242" s="117">
        <v>21909</v>
      </c>
      <c r="D242" s="117">
        <v>13740</v>
      </c>
      <c r="E242" s="117">
        <v>76147</v>
      </c>
      <c r="F242" s="117">
        <v>35426</v>
      </c>
      <c r="G242" s="117">
        <v>19747</v>
      </c>
      <c r="H242" s="117">
        <v>29019</v>
      </c>
      <c r="I242" s="117">
        <v>123689</v>
      </c>
      <c r="J242" s="117">
        <v>34403</v>
      </c>
      <c r="K242" s="117">
        <v>20460</v>
      </c>
      <c r="L242" s="117">
        <v>17462</v>
      </c>
      <c r="M242" s="117">
        <v>136328</v>
      </c>
      <c r="N242" s="117">
        <v>46998</v>
      </c>
      <c r="O242" s="117">
        <v>21094</v>
      </c>
      <c r="P242" s="117">
        <v>18522</v>
      </c>
      <c r="Q242" s="117">
        <v>113466</v>
      </c>
      <c r="R242" s="117">
        <v>116715</v>
      </c>
      <c r="S242" s="117">
        <v>50494</v>
      </c>
      <c r="T242" s="117">
        <v>34062</v>
      </c>
      <c r="V242" s="128" t="s">
        <v>82</v>
      </c>
      <c r="W242" s="117">
        <v>154188</v>
      </c>
      <c r="X242" s="117">
        <v>115714</v>
      </c>
    </row>
    <row r="243" spans="2:24" ht="16" thickBot="1">
      <c r="B243" s="128" t="s">
        <v>127</v>
      </c>
      <c r="C243" s="117">
        <v>0</v>
      </c>
      <c r="D243" s="117">
        <v>915</v>
      </c>
      <c r="E243" s="117"/>
      <c r="F243" s="117"/>
      <c r="G243" s="117"/>
      <c r="H243" s="117">
        <v>1158</v>
      </c>
      <c r="I243" s="117"/>
      <c r="J243" s="117"/>
      <c r="K243" s="117"/>
      <c r="L243" s="117">
        <v>893</v>
      </c>
      <c r="M243" s="117"/>
      <c r="N243" s="117"/>
      <c r="O243" s="117"/>
      <c r="P243" s="117"/>
      <c r="Q243" s="117"/>
      <c r="R243" s="117"/>
      <c r="S243" s="117">
        <v>0</v>
      </c>
      <c r="T243" s="117"/>
      <c r="V243" s="128" t="s">
        <v>127</v>
      </c>
      <c r="W243" s="117"/>
      <c r="X243" s="117"/>
    </row>
    <row r="244" spans="2:24" ht="16" thickBot="1">
      <c r="B244" s="128" t="s">
        <v>84</v>
      </c>
      <c r="C244" s="117">
        <v>15675</v>
      </c>
      <c r="D244" s="117">
        <v>15904</v>
      </c>
      <c r="E244" s="117">
        <v>15554</v>
      </c>
      <c r="F244" s="117">
        <v>15575</v>
      </c>
      <c r="G244" s="117">
        <v>16199</v>
      </c>
      <c r="H244" s="117">
        <v>15646</v>
      </c>
      <c r="I244" s="117">
        <v>15518</v>
      </c>
      <c r="J244" s="117">
        <v>15388</v>
      </c>
      <c r="K244" s="117">
        <v>16122</v>
      </c>
      <c r="L244" s="117">
        <v>15932</v>
      </c>
      <c r="M244" s="117">
        <v>15810</v>
      </c>
      <c r="N244" s="117">
        <v>15713</v>
      </c>
      <c r="O244" s="117">
        <v>16774</v>
      </c>
      <c r="P244" s="117">
        <v>16244</v>
      </c>
      <c r="Q244" s="117">
        <v>15884</v>
      </c>
      <c r="R244" s="117">
        <v>15930</v>
      </c>
      <c r="S244" s="117">
        <v>16599</v>
      </c>
      <c r="T244" s="117">
        <v>16243</v>
      </c>
      <c r="V244" s="128" t="s">
        <v>84</v>
      </c>
      <c r="W244" s="117">
        <v>15689</v>
      </c>
      <c r="X244" s="117">
        <v>16502</v>
      </c>
    </row>
    <row r="245" spans="2:24" ht="16" thickBot="1">
      <c r="B245" s="128" t="s">
        <v>59</v>
      </c>
      <c r="C245" s="117">
        <v>16894</v>
      </c>
      <c r="D245" s="117">
        <v>21544</v>
      </c>
      <c r="E245" s="117">
        <v>29275</v>
      </c>
      <c r="F245" s="117">
        <v>24037</v>
      </c>
      <c r="G245" s="117">
        <v>34650</v>
      </c>
      <c r="H245" s="117">
        <v>22000</v>
      </c>
      <c r="I245" s="117">
        <v>28396</v>
      </c>
      <c r="J245" s="117">
        <v>23836</v>
      </c>
      <c r="K245" s="117">
        <v>34338</v>
      </c>
      <c r="L245" s="117">
        <v>18324</v>
      </c>
      <c r="M245" s="117">
        <v>26322</v>
      </c>
      <c r="N245" s="117">
        <v>24365</v>
      </c>
      <c r="O245" s="117">
        <v>35394</v>
      </c>
      <c r="P245" s="117">
        <v>17628</v>
      </c>
      <c r="Q245" s="117">
        <v>25755</v>
      </c>
      <c r="R245" s="117">
        <v>26489</v>
      </c>
      <c r="S245" s="117">
        <v>37444</v>
      </c>
      <c r="T245" s="117">
        <v>23559</v>
      </c>
      <c r="V245" s="128" t="s">
        <v>59</v>
      </c>
      <c r="W245" s="117">
        <v>27518</v>
      </c>
      <c r="X245" s="117">
        <v>22350</v>
      </c>
    </row>
    <row r="246" spans="2:24" ht="16" thickBot="1">
      <c r="B246" s="128" t="s">
        <v>85</v>
      </c>
      <c r="C246" s="117">
        <v>0</v>
      </c>
      <c r="D246" s="117">
        <v>0</v>
      </c>
      <c r="E246" s="117">
        <v>0</v>
      </c>
      <c r="F246" s="117">
        <v>0</v>
      </c>
      <c r="G246" s="117">
        <v>0</v>
      </c>
      <c r="H246" s="117">
        <v>0</v>
      </c>
      <c r="I246" s="117">
        <v>0</v>
      </c>
      <c r="J246" s="117">
        <v>0</v>
      </c>
      <c r="K246" s="117">
        <v>24</v>
      </c>
      <c r="L246" s="117">
        <v>0</v>
      </c>
      <c r="M246" s="117">
        <v>24</v>
      </c>
      <c r="N246" s="117">
        <v>24</v>
      </c>
      <c r="O246" s="117">
        <v>24</v>
      </c>
      <c r="P246" s="117">
        <v>8714</v>
      </c>
      <c r="Q246" s="117">
        <v>8713</v>
      </c>
      <c r="R246" s="117">
        <v>8714</v>
      </c>
      <c r="S246" s="117">
        <v>8714</v>
      </c>
      <c r="T246" s="117">
        <v>8714</v>
      </c>
      <c r="V246" s="128" t="s">
        <v>85</v>
      </c>
      <c r="W246" s="117">
        <v>8714</v>
      </c>
      <c r="X246" s="117">
        <v>8714</v>
      </c>
    </row>
    <row r="247" spans="2:24" ht="16" thickBot="1">
      <c r="B247" s="128" t="s">
        <v>86</v>
      </c>
      <c r="C247" s="117">
        <v>0</v>
      </c>
      <c r="D247" s="117">
        <v>0</v>
      </c>
      <c r="E247" s="117">
        <v>49</v>
      </c>
      <c r="F247" s="117">
        <v>49</v>
      </c>
      <c r="G247" s="117">
        <v>47</v>
      </c>
      <c r="H247" s="117">
        <v>0</v>
      </c>
      <c r="I247" s="117">
        <v>45</v>
      </c>
      <c r="J247" s="117">
        <v>45</v>
      </c>
      <c r="K247" s="117">
        <v>45</v>
      </c>
      <c r="L247" s="117">
        <v>0</v>
      </c>
      <c r="M247" s="117">
        <v>46</v>
      </c>
      <c r="N247" s="117">
        <v>2</v>
      </c>
      <c r="O247" s="117">
        <v>2</v>
      </c>
      <c r="P247" s="117">
        <v>2</v>
      </c>
      <c r="Q247" s="117">
        <v>4</v>
      </c>
      <c r="R247" s="117">
        <v>4</v>
      </c>
      <c r="S247" s="117">
        <v>4</v>
      </c>
      <c r="T247" s="117">
        <v>39</v>
      </c>
      <c r="V247" s="128" t="s">
        <v>86</v>
      </c>
      <c r="W247" s="117">
        <v>95</v>
      </c>
      <c r="X247" s="117">
        <v>2</v>
      </c>
    </row>
    <row r="248" spans="2:24" ht="16" thickBot="1">
      <c r="B248" s="128" t="s">
        <v>115</v>
      </c>
      <c r="C248" s="110">
        <v>0</v>
      </c>
      <c r="D248" s="110">
        <v>0</v>
      </c>
      <c r="E248" s="110">
        <v>0</v>
      </c>
      <c r="F248" s="110">
        <v>0</v>
      </c>
      <c r="G248" s="110">
        <v>0</v>
      </c>
      <c r="H248" s="110">
        <v>0</v>
      </c>
      <c r="I248" s="110">
        <v>0</v>
      </c>
      <c r="J248" s="110">
        <v>0</v>
      </c>
      <c r="K248" s="110">
        <v>0</v>
      </c>
      <c r="L248" s="110">
        <v>0</v>
      </c>
      <c r="M248" s="110">
        <v>0</v>
      </c>
      <c r="N248" s="110">
        <v>0</v>
      </c>
      <c r="O248" s="110">
        <v>0</v>
      </c>
      <c r="P248" s="110"/>
      <c r="Q248" s="110"/>
      <c r="R248" s="110"/>
      <c r="S248" s="110">
        <v>0</v>
      </c>
      <c r="T248" s="110"/>
      <c r="V248" s="128" t="s">
        <v>115</v>
      </c>
      <c r="W248" s="110"/>
      <c r="X248" s="110"/>
    </row>
    <row r="249" spans="2:24" ht="15.5" thickBot="1">
      <c r="B249" s="126" t="s">
        <v>88</v>
      </c>
      <c r="C249" s="131">
        <f t="shared" ref="C249:N249" si="46">SUM(C241:C248)</f>
        <v>90018</v>
      </c>
      <c r="D249" s="131">
        <f t="shared" si="46"/>
        <v>71850</v>
      </c>
      <c r="E249" s="131">
        <f t="shared" si="46"/>
        <v>153356</v>
      </c>
      <c r="F249" s="131">
        <f t="shared" si="46"/>
        <v>120499</v>
      </c>
      <c r="G249" s="131">
        <f t="shared" si="46"/>
        <v>138452</v>
      </c>
      <c r="H249" s="131">
        <f t="shared" si="46"/>
        <v>139974</v>
      </c>
      <c r="I249" s="131">
        <f t="shared" si="46"/>
        <v>171921</v>
      </c>
      <c r="J249" s="131">
        <f t="shared" si="46"/>
        <v>78081</v>
      </c>
      <c r="K249" s="131">
        <f t="shared" si="46"/>
        <v>81693</v>
      </c>
      <c r="L249" s="131">
        <f t="shared" si="46"/>
        <v>57929</v>
      </c>
      <c r="M249" s="131">
        <f t="shared" si="46"/>
        <v>183032</v>
      </c>
      <c r="N249" s="131">
        <f t="shared" si="46"/>
        <v>91197</v>
      </c>
      <c r="O249" s="131">
        <v>76856</v>
      </c>
      <c r="P249" s="131">
        <v>144459</v>
      </c>
      <c r="Q249" s="131">
        <v>247000</v>
      </c>
      <c r="R249" s="131">
        <v>258781</v>
      </c>
      <c r="S249" s="131">
        <v>215193</v>
      </c>
      <c r="T249" s="131">
        <f t="shared" ref="T249" si="47">SUM(T241:T248)</f>
        <v>87843</v>
      </c>
      <c r="V249" s="126" t="s">
        <v>88</v>
      </c>
      <c r="W249" s="131">
        <f t="shared" ref="W249" si="48">SUM(W241:W248)</f>
        <v>212852</v>
      </c>
      <c r="X249" s="131">
        <f t="shared" ref="X249" si="49">SUM(X241:X248)</f>
        <v>171813</v>
      </c>
    </row>
    <row r="250" spans="2:24" ht="15.5" thickBot="1">
      <c r="B250" s="138" t="s">
        <v>89</v>
      </c>
      <c r="C250" s="139"/>
      <c r="D250" s="139"/>
      <c r="E250" s="139"/>
      <c r="F250" s="139"/>
      <c r="G250" s="139"/>
      <c r="H250" s="139"/>
      <c r="I250" s="139"/>
      <c r="J250" s="139"/>
      <c r="K250" s="139"/>
      <c r="L250" s="139"/>
      <c r="M250" s="139"/>
      <c r="N250" s="139"/>
      <c r="O250" s="139"/>
      <c r="P250" s="139"/>
      <c r="Q250" s="139"/>
      <c r="R250" s="139"/>
      <c r="S250" s="139"/>
      <c r="T250" s="192"/>
      <c r="V250" s="138" t="s">
        <v>89</v>
      </c>
      <c r="W250" s="192"/>
      <c r="X250" s="192"/>
    </row>
    <row r="251" spans="2:24" ht="16" thickBot="1">
      <c r="B251" s="128" t="s">
        <v>81</v>
      </c>
      <c r="C251" s="117">
        <f>180000+174250+1</f>
        <v>354251</v>
      </c>
      <c r="D251" s="117">
        <f>180000+159250</f>
        <v>339250</v>
      </c>
      <c r="E251" s="117">
        <v>322250</v>
      </c>
      <c r="F251" s="117">
        <v>305250</v>
      </c>
      <c r="G251" s="117">
        <v>288250</v>
      </c>
      <c r="H251" s="117">
        <f>180000+91250</f>
        <v>271250</v>
      </c>
      <c r="I251" s="117">
        <v>338050</v>
      </c>
      <c r="J251" s="117">
        <v>338050</v>
      </c>
      <c r="K251" s="117">
        <v>338050</v>
      </c>
      <c r="L251" s="117">
        <f>180000+158050</f>
        <v>338050</v>
      </c>
      <c r="M251" s="117">
        <v>338050</v>
      </c>
      <c r="N251" s="117">
        <v>338050</v>
      </c>
      <c r="O251" s="117">
        <v>338050</v>
      </c>
      <c r="P251" s="117">
        <v>258050</v>
      </c>
      <c r="Q251" s="117">
        <v>258050</v>
      </c>
      <c r="R251" s="117">
        <v>250862</v>
      </c>
      <c r="S251" s="117">
        <v>240825</v>
      </c>
      <c r="T251" s="117">
        <v>328550</v>
      </c>
      <c r="V251" s="128" t="s">
        <v>81</v>
      </c>
      <c r="W251" s="117">
        <v>328550</v>
      </c>
      <c r="X251" s="117">
        <v>328550</v>
      </c>
    </row>
    <row r="252" spans="2:24" ht="16" thickBot="1">
      <c r="B252" s="128" t="s">
        <v>82</v>
      </c>
      <c r="C252" s="117">
        <v>12196</v>
      </c>
      <c r="D252" s="117">
        <v>12120</v>
      </c>
      <c r="E252" s="117">
        <v>12408</v>
      </c>
      <c r="F252" s="117">
        <v>12397</v>
      </c>
      <c r="G252" s="117">
        <v>12333</v>
      </c>
      <c r="H252" s="117">
        <v>12260</v>
      </c>
      <c r="I252" s="117">
        <v>14127</v>
      </c>
      <c r="J252" s="117">
        <v>14159</v>
      </c>
      <c r="K252" s="117">
        <v>14989</v>
      </c>
      <c r="L252" s="117">
        <v>14150</v>
      </c>
      <c r="M252" s="117">
        <v>13976</v>
      </c>
      <c r="N252" s="117">
        <v>14015</v>
      </c>
      <c r="O252" s="117">
        <v>14257</v>
      </c>
      <c r="P252" s="117">
        <v>14073</v>
      </c>
      <c r="Q252" s="117">
        <v>13901</v>
      </c>
      <c r="R252" s="117">
        <v>13788</v>
      </c>
      <c r="S252" s="117">
        <v>13774</v>
      </c>
      <c r="T252" s="117">
        <v>2056</v>
      </c>
      <c r="V252" s="128" t="s">
        <v>82</v>
      </c>
      <c r="W252" s="117">
        <v>2403</v>
      </c>
      <c r="X252" s="117">
        <v>2147</v>
      </c>
    </row>
    <row r="253" spans="2:24" ht="16" thickBot="1">
      <c r="B253" s="128" t="s">
        <v>90</v>
      </c>
      <c r="C253" s="117">
        <v>0</v>
      </c>
      <c r="D253" s="117">
        <v>0</v>
      </c>
      <c r="E253" s="117">
        <v>0</v>
      </c>
      <c r="F253" s="117">
        <v>0</v>
      </c>
      <c r="G253" s="117">
        <v>0</v>
      </c>
      <c r="H253" s="117">
        <v>0</v>
      </c>
      <c r="I253" s="117">
        <v>0</v>
      </c>
      <c r="J253" s="117">
        <v>0</v>
      </c>
      <c r="K253" s="117">
        <v>0</v>
      </c>
      <c r="L253" s="117">
        <v>0</v>
      </c>
      <c r="M253" s="117">
        <v>0</v>
      </c>
      <c r="N253" s="117">
        <v>0</v>
      </c>
      <c r="O253" s="117">
        <v>0</v>
      </c>
      <c r="P253" s="117"/>
      <c r="Q253" s="117"/>
      <c r="R253" s="117"/>
      <c r="S253" s="117">
        <v>0</v>
      </c>
      <c r="T253" s="117"/>
      <c r="V253" s="128" t="s">
        <v>90</v>
      </c>
      <c r="W253" s="117"/>
      <c r="X253" s="117"/>
    </row>
    <row r="254" spans="2:24" ht="16" thickBot="1">
      <c r="B254" s="128" t="s">
        <v>84</v>
      </c>
      <c r="C254" s="117">
        <v>147734</v>
      </c>
      <c r="D254" s="117">
        <v>158229</v>
      </c>
      <c r="E254" s="117">
        <v>160161</v>
      </c>
      <c r="F254" s="117">
        <v>161147</v>
      </c>
      <c r="G254" s="117">
        <v>162872</v>
      </c>
      <c r="H254" s="117">
        <v>157153</v>
      </c>
      <c r="I254" s="117">
        <v>158917</v>
      </c>
      <c r="J254" s="117">
        <v>160321</v>
      </c>
      <c r="K254" s="117">
        <v>162128</v>
      </c>
      <c r="L254" s="117">
        <v>162337</v>
      </c>
      <c r="M254" s="117">
        <v>164224</v>
      </c>
      <c r="N254" s="117">
        <v>165858</v>
      </c>
      <c r="O254" s="117">
        <v>168320</v>
      </c>
      <c r="P254" s="117">
        <v>168734</v>
      </c>
      <c r="Q254" s="117">
        <v>170998</v>
      </c>
      <c r="R254" s="117">
        <v>172715</v>
      </c>
      <c r="S254" s="117">
        <v>174087</v>
      </c>
      <c r="T254" s="117">
        <v>131802</v>
      </c>
      <c r="V254" s="128" t="s">
        <v>84</v>
      </c>
      <c r="W254" s="117">
        <v>134302</v>
      </c>
      <c r="X254" s="117">
        <v>135074</v>
      </c>
    </row>
    <row r="255" spans="2:24" ht="16" thickBot="1">
      <c r="B255" s="128" t="s">
        <v>85</v>
      </c>
      <c r="C255" s="117">
        <v>0</v>
      </c>
      <c r="D255" s="117">
        <v>0</v>
      </c>
      <c r="E255" s="117">
        <v>0</v>
      </c>
      <c r="F255" s="117">
        <v>0</v>
      </c>
      <c r="G255" s="117">
        <v>0</v>
      </c>
      <c r="H255" s="117">
        <v>0</v>
      </c>
      <c r="I255" s="117">
        <v>0</v>
      </c>
      <c r="J255" s="117">
        <v>0</v>
      </c>
      <c r="K255" s="117">
        <v>0</v>
      </c>
      <c r="L255" s="117">
        <v>0</v>
      </c>
      <c r="M255" s="117">
        <v>0</v>
      </c>
      <c r="N255" s="117">
        <v>0</v>
      </c>
      <c r="O255" s="117">
        <v>0</v>
      </c>
      <c r="P255" s="117"/>
      <c r="Q255" s="117"/>
      <c r="R255" s="117"/>
      <c r="S255" s="117">
        <v>0</v>
      </c>
      <c r="T255" s="117"/>
      <c r="V255" s="128" t="s">
        <v>85</v>
      </c>
      <c r="W255" s="117"/>
      <c r="X255" s="117"/>
    </row>
    <row r="256" spans="2:24" ht="16" thickBot="1">
      <c r="B256" s="128" t="s">
        <v>86</v>
      </c>
      <c r="C256" s="117">
        <v>5611</v>
      </c>
      <c r="D256" s="117">
        <v>5224</v>
      </c>
      <c r="E256" s="117">
        <v>5127</v>
      </c>
      <c r="F256" s="117">
        <v>5030</v>
      </c>
      <c r="G256" s="117">
        <f>4933-3</f>
        <v>4930</v>
      </c>
      <c r="H256" s="117">
        <v>4836</v>
      </c>
      <c r="I256" s="117">
        <v>4739</v>
      </c>
      <c r="J256" s="117">
        <f>4643-3</f>
        <v>4640</v>
      </c>
      <c r="K256" s="117">
        <f>4546-2</f>
        <v>4544</v>
      </c>
      <c r="L256" s="117">
        <f>4449-1</f>
        <v>4448</v>
      </c>
      <c r="M256" s="117">
        <v>4352</v>
      </c>
      <c r="N256" s="117">
        <v>4255</v>
      </c>
      <c r="O256" s="117">
        <v>6280</v>
      </c>
      <c r="P256" s="117">
        <v>6160</v>
      </c>
      <c r="Q256" s="117">
        <v>6045</v>
      </c>
      <c r="R256" s="117">
        <v>5931</v>
      </c>
      <c r="S256" s="117">
        <v>6283</v>
      </c>
      <c r="T256" s="117">
        <v>6168</v>
      </c>
      <c r="V256" s="128" t="s">
        <v>86</v>
      </c>
      <c r="W256" s="117">
        <v>6054</v>
      </c>
      <c r="X256" s="117">
        <f>5939+1</f>
        <v>5940</v>
      </c>
    </row>
    <row r="257" spans="1:24" ht="16" thickBot="1">
      <c r="B257" s="128" t="s">
        <v>116</v>
      </c>
      <c r="C257" s="117">
        <v>76835</v>
      </c>
      <c r="D257" s="117">
        <v>69535</v>
      </c>
      <c r="E257" s="117">
        <f>68306-2</f>
        <v>68304</v>
      </c>
      <c r="F257" s="117">
        <v>67062</v>
      </c>
      <c r="G257" s="117">
        <v>65392</v>
      </c>
      <c r="H257" s="117">
        <v>59169</v>
      </c>
      <c r="I257" s="117">
        <v>58152</v>
      </c>
      <c r="J257" s="117">
        <v>56908</v>
      </c>
      <c r="K257" s="117">
        <v>55380</v>
      </c>
      <c r="L257" s="117">
        <v>52257</v>
      </c>
      <c r="M257" s="117">
        <v>50120</v>
      </c>
      <c r="N257" s="117">
        <f>50116-2</f>
        <v>50114</v>
      </c>
      <c r="O257" s="117">
        <v>50310</v>
      </c>
      <c r="P257" s="117">
        <v>49074</v>
      </c>
      <c r="Q257" s="117">
        <v>48273</v>
      </c>
      <c r="R257" s="117">
        <v>47477</v>
      </c>
      <c r="S257" s="117">
        <v>53309</v>
      </c>
      <c r="T257" s="117">
        <v>23615</v>
      </c>
      <c r="V257" s="128" t="s">
        <v>116</v>
      </c>
      <c r="W257" s="117">
        <v>22337</v>
      </c>
      <c r="X257" s="117">
        <v>23191</v>
      </c>
    </row>
    <row r="258" spans="1:24" ht="15.5" thickBot="1">
      <c r="B258" s="126" t="s">
        <v>91</v>
      </c>
      <c r="C258" s="131">
        <f t="shared" ref="C258:N258" si="50">SUM(C251:C257)</f>
        <v>596627</v>
      </c>
      <c r="D258" s="131">
        <f t="shared" si="50"/>
        <v>584358</v>
      </c>
      <c r="E258" s="131">
        <f t="shared" si="50"/>
        <v>568250</v>
      </c>
      <c r="F258" s="131">
        <f t="shared" si="50"/>
        <v>550886</v>
      </c>
      <c r="G258" s="131">
        <f t="shared" si="50"/>
        <v>533777</v>
      </c>
      <c r="H258" s="131">
        <f t="shared" si="50"/>
        <v>504668</v>
      </c>
      <c r="I258" s="131">
        <f t="shared" si="50"/>
        <v>573985</v>
      </c>
      <c r="J258" s="131">
        <f t="shared" si="50"/>
        <v>574078</v>
      </c>
      <c r="K258" s="131">
        <f t="shared" si="50"/>
        <v>575091</v>
      </c>
      <c r="L258" s="131">
        <f t="shared" si="50"/>
        <v>571242</v>
      </c>
      <c r="M258" s="131">
        <f t="shared" si="50"/>
        <v>570722</v>
      </c>
      <c r="N258" s="131">
        <f t="shared" si="50"/>
        <v>572292</v>
      </c>
      <c r="O258" s="131">
        <v>577217</v>
      </c>
      <c r="P258" s="131">
        <v>496091</v>
      </c>
      <c r="Q258" s="131">
        <v>497267</v>
      </c>
      <c r="R258" s="131">
        <v>490773</v>
      </c>
      <c r="S258" s="131">
        <v>488278</v>
      </c>
      <c r="T258" s="131">
        <f t="shared" ref="T258" si="51">SUM(T251:T257)</f>
        <v>492191</v>
      </c>
      <c r="V258" s="126" t="s">
        <v>91</v>
      </c>
      <c r="W258" s="131">
        <f t="shared" ref="W258:X258" si="52">SUM(W251:W257)</f>
        <v>493646</v>
      </c>
      <c r="X258" s="131">
        <f t="shared" si="52"/>
        <v>494902</v>
      </c>
    </row>
    <row r="259" spans="1:24" ht="15.5" thickBot="1">
      <c r="B259" s="132" t="s">
        <v>92</v>
      </c>
      <c r="C259" s="133">
        <f t="shared" ref="C259:N259" si="53">+C249+C258</f>
        <v>686645</v>
      </c>
      <c r="D259" s="133">
        <f t="shared" si="53"/>
        <v>656208</v>
      </c>
      <c r="E259" s="133">
        <f t="shared" si="53"/>
        <v>721606</v>
      </c>
      <c r="F259" s="133">
        <f t="shared" si="53"/>
        <v>671385</v>
      </c>
      <c r="G259" s="133">
        <f t="shared" si="53"/>
        <v>672229</v>
      </c>
      <c r="H259" s="133">
        <f t="shared" si="53"/>
        <v>644642</v>
      </c>
      <c r="I259" s="133">
        <f t="shared" si="53"/>
        <v>745906</v>
      </c>
      <c r="J259" s="133">
        <f t="shared" si="53"/>
        <v>652159</v>
      </c>
      <c r="K259" s="133">
        <f t="shared" si="53"/>
        <v>656784</v>
      </c>
      <c r="L259" s="133">
        <f t="shared" si="53"/>
        <v>629171</v>
      </c>
      <c r="M259" s="133">
        <f t="shared" si="53"/>
        <v>753754</v>
      </c>
      <c r="N259" s="133">
        <f t="shared" si="53"/>
        <v>663489</v>
      </c>
      <c r="O259" s="133">
        <v>654073</v>
      </c>
      <c r="P259" s="133">
        <v>640550</v>
      </c>
      <c r="Q259" s="133">
        <v>744267</v>
      </c>
      <c r="R259" s="133">
        <v>749554</v>
      </c>
      <c r="S259" s="133">
        <v>703471</v>
      </c>
      <c r="T259" s="133">
        <f t="shared" ref="T259" si="54">+T249+T258</f>
        <v>580034</v>
      </c>
      <c r="V259" s="132" t="s">
        <v>92</v>
      </c>
      <c r="W259" s="133">
        <f t="shared" ref="W259:X259" si="55">+W249+W258</f>
        <v>706498</v>
      </c>
      <c r="X259" s="133">
        <f t="shared" si="55"/>
        <v>666715</v>
      </c>
    </row>
    <row r="260" spans="1:24" ht="15.5" thickBot="1">
      <c r="B260" s="134"/>
      <c r="C260" s="135"/>
      <c r="D260" s="135"/>
      <c r="E260" s="135"/>
      <c r="F260" s="135"/>
      <c r="G260" s="135"/>
      <c r="H260" s="135"/>
      <c r="I260" s="135"/>
      <c r="J260" s="135"/>
      <c r="K260" s="135"/>
      <c r="L260" s="135"/>
      <c r="M260" s="135"/>
      <c r="N260" s="135"/>
      <c r="O260" s="135"/>
      <c r="P260" s="135"/>
      <c r="Q260" s="135"/>
      <c r="R260" s="135"/>
      <c r="S260" s="135">
        <v>0</v>
      </c>
      <c r="T260" s="187"/>
      <c r="V260" s="134"/>
      <c r="W260" s="187"/>
      <c r="X260" s="187"/>
    </row>
    <row r="261" spans="1:24" ht="15.5" thickBot="1">
      <c r="B261" s="140" t="s">
        <v>93</v>
      </c>
      <c r="C261" s="139"/>
      <c r="D261" s="139"/>
      <c r="E261" s="139"/>
      <c r="F261" s="139"/>
      <c r="G261" s="139"/>
      <c r="H261" s="139"/>
      <c r="I261" s="139"/>
      <c r="J261" s="139"/>
      <c r="K261" s="139"/>
      <c r="L261" s="139"/>
      <c r="M261" s="139"/>
      <c r="N261" s="139"/>
      <c r="O261" s="139"/>
      <c r="P261" s="139"/>
      <c r="Q261" s="139"/>
      <c r="R261" s="139"/>
      <c r="S261" s="139"/>
      <c r="T261" s="192"/>
      <c r="V261" s="140" t="s">
        <v>93</v>
      </c>
      <c r="W261" s="192"/>
      <c r="X261" s="192"/>
    </row>
    <row r="262" spans="1:24" ht="16" thickBot="1">
      <c r="B262" s="128" t="s">
        <v>94</v>
      </c>
      <c r="C262" s="117">
        <v>180974</v>
      </c>
      <c r="D262" s="117">
        <v>180974</v>
      </c>
      <c r="E262" s="117">
        <v>180974</v>
      </c>
      <c r="F262" s="117">
        <v>180974</v>
      </c>
      <c r="G262" s="117">
        <v>180974</v>
      </c>
      <c r="H262" s="117">
        <v>180974</v>
      </c>
      <c r="I262" s="117">
        <v>180974</v>
      </c>
      <c r="J262" s="117">
        <v>180974</v>
      </c>
      <c r="K262" s="117">
        <v>180974</v>
      </c>
      <c r="L262" s="117">
        <v>180974</v>
      </c>
      <c r="M262" s="117">
        <v>180974</v>
      </c>
      <c r="N262" s="117">
        <v>180974</v>
      </c>
      <c r="O262" s="117">
        <v>180974</v>
      </c>
      <c r="P262" s="117">
        <v>180974</v>
      </c>
      <c r="Q262" s="117">
        <v>180974</v>
      </c>
      <c r="R262" s="117">
        <v>180974</v>
      </c>
      <c r="S262" s="117">
        <v>180974</v>
      </c>
      <c r="T262" s="117">
        <v>180974</v>
      </c>
      <c r="V262" s="128" t="s">
        <v>94</v>
      </c>
      <c r="W262" s="117">
        <v>180974</v>
      </c>
      <c r="X262" s="117">
        <v>180974</v>
      </c>
    </row>
    <row r="263" spans="1:24" ht="16" thickBot="1">
      <c r="B263" s="128" t="s">
        <v>95</v>
      </c>
      <c r="C263" s="117">
        <v>0</v>
      </c>
      <c r="D263" s="117">
        <v>0</v>
      </c>
      <c r="E263" s="117">
        <v>0</v>
      </c>
      <c r="F263" s="117">
        <v>0</v>
      </c>
      <c r="G263" s="117">
        <v>0</v>
      </c>
      <c r="H263" s="117">
        <v>0</v>
      </c>
      <c r="I263" s="117">
        <v>0</v>
      </c>
      <c r="J263" s="117">
        <v>0</v>
      </c>
      <c r="K263" s="117">
        <v>0</v>
      </c>
      <c r="L263" s="117">
        <v>0</v>
      </c>
      <c r="M263" s="117">
        <v>0</v>
      </c>
      <c r="N263" s="117">
        <v>0</v>
      </c>
      <c r="O263" s="117">
        <v>0</v>
      </c>
      <c r="P263" s="117"/>
      <c r="Q263" s="117"/>
      <c r="R263" s="117"/>
      <c r="S263" s="117">
        <v>0</v>
      </c>
      <c r="T263" s="117"/>
      <c r="V263" s="128" t="s">
        <v>95</v>
      </c>
      <c r="W263" s="117">
        <v>0</v>
      </c>
      <c r="X263" s="117"/>
    </row>
    <row r="264" spans="1:24" ht="16" thickBot="1">
      <c r="B264" s="128" t="s">
        <v>96</v>
      </c>
      <c r="C264" s="117">
        <v>77575</v>
      </c>
      <c r="D264" s="117">
        <v>87483</v>
      </c>
      <c r="E264" s="117">
        <v>96404</v>
      </c>
      <c r="F264" s="117">
        <v>96404</v>
      </c>
      <c r="G264" s="117">
        <v>96404</v>
      </c>
      <c r="H264" s="117">
        <v>96404</v>
      </c>
      <c r="I264" s="117">
        <v>96404</v>
      </c>
      <c r="J264" s="117">
        <v>96404</v>
      </c>
      <c r="K264" s="117">
        <v>96404</v>
      </c>
      <c r="L264" s="117">
        <v>96404</v>
      </c>
      <c r="M264" s="117">
        <v>96404</v>
      </c>
      <c r="N264" s="117">
        <v>96404</v>
      </c>
      <c r="O264" s="117">
        <v>96404</v>
      </c>
      <c r="P264" s="117">
        <v>96404</v>
      </c>
      <c r="Q264" s="117">
        <v>96404</v>
      </c>
      <c r="R264" s="117">
        <v>96404</v>
      </c>
      <c r="S264" s="117">
        <v>96404</v>
      </c>
      <c r="T264" s="117">
        <v>96404</v>
      </c>
      <c r="V264" s="128" t="s">
        <v>96</v>
      </c>
      <c r="W264" s="117">
        <v>96404</v>
      </c>
      <c r="X264" s="117">
        <v>96404</v>
      </c>
    </row>
    <row r="265" spans="1:24" ht="16" thickBot="1">
      <c r="B265" s="128" t="s">
        <v>97</v>
      </c>
      <c r="C265" s="117">
        <v>281371</v>
      </c>
      <c r="D265" s="117">
        <v>281371</v>
      </c>
      <c r="E265" s="117">
        <v>281371</v>
      </c>
      <c r="F265" s="117">
        <v>281371</v>
      </c>
      <c r="G265" s="117">
        <v>281371</v>
      </c>
      <c r="H265" s="117">
        <v>278777</v>
      </c>
      <c r="I265" s="117">
        <v>278777</v>
      </c>
      <c r="J265" s="117">
        <v>278777</v>
      </c>
      <c r="K265" s="117">
        <v>278777</v>
      </c>
      <c r="L265" s="117">
        <v>278777</v>
      </c>
      <c r="M265" s="117">
        <v>278777</v>
      </c>
      <c r="N265" s="117">
        <v>278777</v>
      </c>
      <c r="O265" s="117">
        <v>278777</v>
      </c>
      <c r="P265" s="117">
        <v>278777</v>
      </c>
      <c r="Q265" s="117">
        <v>278777</v>
      </c>
      <c r="R265" s="117">
        <v>278775</v>
      </c>
      <c r="S265" s="117">
        <v>278775</v>
      </c>
      <c r="T265" s="117">
        <v>278775</v>
      </c>
      <c r="V265" s="128" t="s">
        <v>97</v>
      </c>
      <c r="W265" s="117">
        <v>278774</v>
      </c>
      <c r="X265" s="117">
        <v>278774</v>
      </c>
    </row>
    <row r="266" spans="1:24" ht="16" thickBot="1">
      <c r="B266" s="128" t="s">
        <v>98</v>
      </c>
      <c r="C266" s="117">
        <v>88762</v>
      </c>
      <c r="D266" s="117">
        <v>107978</v>
      </c>
      <c r="E266" s="117">
        <v>31116</v>
      </c>
      <c r="F266" s="117">
        <v>64014</v>
      </c>
      <c r="G266" s="117">
        <v>95999</v>
      </c>
      <c r="H266" s="117">
        <v>135784</v>
      </c>
      <c r="I266" s="117">
        <v>39650</v>
      </c>
      <c r="J266" s="117">
        <v>78611</v>
      </c>
      <c r="K266" s="117">
        <v>118117</v>
      </c>
      <c r="L266" s="117">
        <v>170619</v>
      </c>
      <c r="M266" s="117">
        <v>40236</v>
      </c>
      <c r="N266" s="117">
        <v>80872</v>
      </c>
      <c r="O266" s="117">
        <v>119388</v>
      </c>
      <c r="P266" s="117">
        <v>146814</v>
      </c>
      <c r="Q266" s="117">
        <v>46603</v>
      </c>
      <c r="R266" s="117">
        <v>91799</v>
      </c>
      <c r="S266" s="117">
        <v>138946</v>
      </c>
      <c r="T266" s="117">
        <v>184024</v>
      </c>
      <c r="V266" s="128" t="s">
        <v>98</v>
      </c>
      <c r="W266" s="117">
        <v>45805</v>
      </c>
      <c r="X266" s="117">
        <v>115669</v>
      </c>
    </row>
    <row r="267" spans="1:24" ht="16" thickBot="1">
      <c r="B267" s="128" t="s">
        <v>99</v>
      </c>
      <c r="C267" s="117">
        <v>81923</v>
      </c>
      <c r="D267" s="117">
        <v>74875</v>
      </c>
      <c r="E267" s="117">
        <v>55924</v>
      </c>
      <c r="F267" s="117">
        <v>67538</v>
      </c>
      <c r="G267" s="117">
        <v>69913</v>
      </c>
      <c r="H267" s="117">
        <v>100354</v>
      </c>
      <c r="I267" s="117">
        <v>90815</v>
      </c>
      <c r="J267" s="117">
        <v>91263</v>
      </c>
      <c r="K267" s="117">
        <v>112599</v>
      </c>
      <c r="L267" s="117">
        <v>96353</v>
      </c>
      <c r="M267" s="117">
        <v>169321</v>
      </c>
      <c r="N267" s="117">
        <v>142429</v>
      </c>
      <c r="O267" s="117">
        <v>151333</v>
      </c>
      <c r="P267" s="117">
        <v>113140</v>
      </c>
      <c r="Q267" s="117">
        <v>136426</v>
      </c>
      <c r="R267" s="117">
        <v>137628</v>
      </c>
      <c r="S267" s="117">
        <v>172217</v>
      </c>
      <c r="T267" s="117">
        <v>187405</v>
      </c>
      <c r="V267" s="128" t="s">
        <v>99</v>
      </c>
      <c r="W267" s="117">
        <v>165165</v>
      </c>
      <c r="X267" s="117">
        <v>194819</v>
      </c>
    </row>
    <row r="268" spans="1:24" ht="15.5" thickBot="1">
      <c r="B268" s="126" t="s">
        <v>102</v>
      </c>
      <c r="C268" s="131">
        <f t="shared" ref="C268:N268" si="56">SUM(C262:C267)</f>
        <v>710605</v>
      </c>
      <c r="D268" s="131">
        <f t="shared" si="56"/>
        <v>732681</v>
      </c>
      <c r="E268" s="131">
        <f t="shared" si="56"/>
        <v>645789</v>
      </c>
      <c r="F268" s="131">
        <f t="shared" si="56"/>
        <v>690301</v>
      </c>
      <c r="G268" s="131">
        <f t="shared" si="56"/>
        <v>724661</v>
      </c>
      <c r="H268" s="131">
        <f t="shared" si="56"/>
        <v>792293</v>
      </c>
      <c r="I268" s="131">
        <f t="shared" si="56"/>
        <v>686620</v>
      </c>
      <c r="J268" s="131">
        <f t="shared" si="56"/>
        <v>726029</v>
      </c>
      <c r="K268" s="131">
        <f t="shared" si="56"/>
        <v>786871</v>
      </c>
      <c r="L268" s="131">
        <f t="shared" si="56"/>
        <v>823127</v>
      </c>
      <c r="M268" s="131">
        <f t="shared" si="56"/>
        <v>765712</v>
      </c>
      <c r="N268" s="131">
        <f t="shared" si="56"/>
        <v>779456</v>
      </c>
      <c r="O268" s="131">
        <v>826876</v>
      </c>
      <c r="P268" s="131">
        <v>816109</v>
      </c>
      <c r="Q268" s="131">
        <v>739184</v>
      </c>
      <c r="R268" s="131">
        <v>785580</v>
      </c>
      <c r="S268" s="131">
        <v>867316</v>
      </c>
      <c r="T268" s="131">
        <f t="shared" ref="T268" si="57">SUM(T262:T267)</f>
        <v>927582</v>
      </c>
      <c r="V268" s="126" t="s">
        <v>102</v>
      </c>
      <c r="W268" s="131">
        <f t="shared" ref="W268:X268" si="58">SUM(W262:W267)</f>
        <v>767122</v>
      </c>
      <c r="X268" s="131">
        <f t="shared" si="58"/>
        <v>866640</v>
      </c>
    </row>
    <row r="269" spans="1:24" ht="15.5" thickBot="1">
      <c r="A269" s="56" t="s">
        <v>104</v>
      </c>
      <c r="B269" s="141" t="s">
        <v>103</v>
      </c>
      <c r="C269" s="133">
        <f t="shared" ref="C269:N269" si="59">+C259+C268</f>
        <v>1397250</v>
      </c>
      <c r="D269" s="133">
        <f t="shared" si="59"/>
        <v>1388889</v>
      </c>
      <c r="E269" s="133">
        <f t="shared" si="59"/>
        <v>1367395</v>
      </c>
      <c r="F269" s="133">
        <f t="shared" si="59"/>
        <v>1361686</v>
      </c>
      <c r="G269" s="133">
        <f t="shared" si="59"/>
        <v>1396890</v>
      </c>
      <c r="H269" s="133">
        <f t="shared" si="59"/>
        <v>1436935</v>
      </c>
      <c r="I269" s="133">
        <f t="shared" si="59"/>
        <v>1432526</v>
      </c>
      <c r="J269" s="133">
        <f t="shared" si="59"/>
        <v>1378188</v>
      </c>
      <c r="K269" s="133">
        <f t="shared" si="59"/>
        <v>1443655</v>
      </c>
      <c r="L269" s="133">
        <f t="shared" si="59"/>
        <v>1452298</v>
      </c>
      <c r="M269" s="133">
        <f t="shared" si="59"/>
        <v>1519466</v>
      </c>
      <c r="N269" s="133">
        <f t="shared" si="59"/>
        <v>1442945</v>
      </c>
      <c r="O269" s="133">
        <v>1480949</v>
      </c>
      <c r="P269" s="133">
        <v>1456659</v>
      </c>
      <c r="Q269" s="133">
        <v>1483451</v>
      </c>
      <c r="R269" s="133">
        <v>1535134</v>
      </c>
      <c r="S269" s="133">
        <v>1570787</v>
      </c>
      <c r="T269" s="133">
        <f t="shared" ref="T269" si="60">+T259+T268</f>
        <v>1507616</v>
      </c>
      <c r="V269" s="141" t="s">
        <v>103</v>
      </c>
      <c r="W269" s="133">
        <f t="shared" ref="W269:X269" si="61">+W259+W268</f>
        <v>1473620</v>
      </c>
      <c r="X269" s="133">
        <f t="shared" si="61"/>
        <v>1533355</v>
      </c>
    </row>
    <row r="270" spans="1:24" ht="15.5">
      <c r="B270" s="78"/>
      <c r="C270" s="122">
        <f>+C237-C259-C268</f>
        <v>0</v>
      </c>
      <c r="D270" s="122">
        <f t="shared" ref="D270:N270" si="62">+D237-D259-D268</f>
        <v>0</v>
      </c>
      <c r="E270" s="122">
        <f t="shared" si="62"/>
        <v>0</v>
      </c>
      <c r="F270" s="122">
        <f t="shared" si="62"/>
        <v>0</v>
      </c>
      <c r="G270" s="122">
        <f t="shared" si="62"/>
        <v>0</v>
      </c>
      <c r="H270" s="122">
        <f t="shared" si="62"/>
        <v>0</v>
      </c>
      <c r="I270" s="122">
        <f t="shared" si="62"/>
        <v>0</v>
      </c>
      <c r="J270" s="122">
        <f t="shared" si="62"/>
        <v>0</v>
      </c>
      <c r="K270" s="122">
        <f t="shared" si="62"/>
        <v>0</v>
      </c>
      <c r="L270" s="122">
        <f t="shared" si="62"/>
        <v>0</v>
      </c>
      <c r="M270" s="122">
        <f t="shared" si="62"/>
        <v>0</v>
      </c>
      <c r="N270" s="122">
        <f t="shared" si="62"/>
        <v>0</v>
      </c>
      <c r="O270" s="78"/>
    </row>
    <row r="271" spans="1:24" ht="15.5">
      <c r="B271" s="78"/>
      <c r="C271" s="116">
        <f>+C205-C266</f>
        <v>0</v>
      </c>
      <c r="D271" s="116">
        <f>+D205-D266</f>
        <v>0</v>
      </c>
      <c r="E271" s="116">
        <f>+E205-E266</f>
        <v>0</v>
      </c>
      <c r="F271" s="116">
        <f>+F205+E205-F266</f>
        <v>0</v>
      </c>
      <c r="G271" s="116">
        <f>+G205+F205+E205-G266</f>
        <v>0</v>
      </c>
      <c r="H271" s="116">
        <f>+H205+G205+F205+E205-H266</f>
        <v>0</v>
      </c>
      <c r="I271" s="116">
        <f>+I205-I266</f>
        <v>0</v>
      </c>
      <c r="J271" s="116">
        <f>+J205+I205-J266</f>
        <v>0</v>
      </c>
      <c r="K271" s="116">
        <f>+K205+J205+I205-K266</f>
        <v>0</v>
      </c>
      <c r="L271" s="116">
        <f>+L205+K205+J205+I205-L266</f>
        <v>0</v>
      </c>
      <c r="M271" s="116">
        <f>+M205-M266</f>
        <v>0</v>
      </c>
      <c r="N271" s="116">
        <f>+N205+M205-N266</f>
        <v>0</v>
      </c>
      <c r="O271" s="116"/>
      <c r="P271" s="39"/>
    </row>
    <row r="272" spans="1:24" ht="15">
      <c r="B272" s="12" t="s">
        <v>1143</v>
      </c>
    </row>
    <row r="273" spans="2:2">
      <c r="B273" s="2" t="s">
        <v>1142</v>
      </c>
    </row>
  </sheetData>
  <phoneticPr fontId="204" type="noConversion"/>
  <hyperlinks>
    <hyperlink ref="A1" location="Contenido!A1" display="Volver al Contenido" xr:uid="{5FE28908-7A9C-430C-B313-87BF26660E81}"/>
    <hyperlink ref="B273" r:id="rId1" xr:uid="{76C76645-958D-47BA-9ED5-FAB9B217FAB2}"/>
  </hyperlinks>
  <pageMargins left="0.7" right="0.7" top="0.75" bottom="0.75" header="0.3" footer="0.3"/>
  <pageSetup orientation="portrait" horizontalDpi="4294967295" verticalDpi="4294967295"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582A9-407D-417A-9811-A38A63B36871}">
  <dimension ref="A1:AA262"/>
  <sheetViews>
    <sheetView showGridLines="0" zoomScale="90" zoomScaleNormal="90" workbookViewId="0">
      <pane xSplit="2" ySplit="7" topLeftCell="R62" activePane="bottomRight" state="frozen"/>
      <selection pane="topRight" activeCell="C1" sqref="C1"/>
      <selection pane="bottomLeft" activeCell="A8" sqref="A8"/>
      <selection pane="bottomRight"/>
    </sheetView>
  </sheetViews>
  <sheetFormatPr baseColWidth="10" defaultColWidth="11.453125" defaultRowHeight="14.5"/>
  <cols>
    <col min="1" max="1" width="5.453125" style="46" customWidth="1"/>
    <col min="2" max="2" width="66.81640625" style="46" customWidth="1"/>
    <col min="3" max="3" width="19" style="46" customWidth="1"/>
    <col min="4" max="4" width="17.54296875" style="46" customWidth="1"/>
    <col min="5" max="6" width="15.1796875" style="46" customWidth="1"/>
    <col min="7" max="7" width="17.54296875" style="46" customWidth="1"/>
    <col min="8" max="8" width="17.1796875" style="46" customWidth="1"/>
    <col min="9" max="9" width="15.1796875" style="46" customWidth="1"/>
    <col min="10" max="10" width="17.1796875" style="46" customWidth="1"/>
    <col min="11" max="11" width="16" style="46" customWidth="1"/>
    <col min="12" max="12" width="17.81640625" style="46" customWidth="1"/>
    <col min="13" max="13" width="16" style="46" customWidth="1"/>
    <col min="14" max="14" width="18.1796875" style="46" customWidth="1"/>
    <col min="15" max="15" width="16.26953125" style="46" customWidth="1"/>
    <col min="16" max="16" width="16.54296875" style="42" customWidth="1"/>
    <col min="17" max="18" width="17" style="42" customWidth="1"/>
    <col min="19" max="19" width="17.453125" style="42" bestFit="1" customWidth="1"/>
    <col min="20" max="20" width="17.1796875" style="42" bestFit="1" customWidth="1"/>
    <col min="21" max="22" width="17.453125" style="42" bestFit="1" customWidth="1"/>
    <col min="23" max="27" width="11.453125" style="42"/>
    <col min="28" max="16384" width="11.453125" style="46"/>
  </cols>
  <sheetData>
    <row r="1" spans="1:26">
      <c r="A1" s="2" t="s">
        <v>16</v>
      </c>
    </row>
    <row r="3" spans="1:26" ht="15">
      <c r="B3" s="12" t="s">
        <v>128</v>
      </c>
      <c r="P3" s="68"/>
      <c r="Q3" s="68"/>
      <c r="R3" s="68"/>
      <c r="S3" s="68"/>
      <c r="T3" s="68"/>
      <c r="U3" s="68"/>
      <c r="V3" s="68"/>
      <c r="W3" s="68"/>
      <c r="X3" s="68"/>
      <c r="Y3" s="68"/>
      <c r="Z3" s="68"/>
    </row>
    <row r="4" spans="1:26" ht="15">
      <c r="B4" s="14" t="s">
        <v>129</v>
      </c>
    </row>
    <row r="6" spans="1:26">
      <c r="B6" s="764"/>
      <c r="C6" s="274" t="s">
        <v>130</v>
      </c>
      <c r="D6" s="274"/>
      <c r="E6" s="274"/>
      <c r="F6" s="274"/>
      <c r="G6" s="274"/>
      <c r="H6" s="274"/>
      <c r="I6" s="274"/>
      <c r="J6" s="274"/>
      <c r="K6" s="274"/>
      <c r="L6" s="543"/>
      <c r="M6" s="274"/>
      <c r="N6" s="274"/>
      <c r="O6" s="274"/>
      <c r="P6" s="544"/>
      <c r="Q6" s="544"/>
      <c r="R6" s="544"/>
      <c r="S6" s="544"/>
      <c r="T6" s="544"/>
      <c r="U6" s="544"/>
      <c r="V6" s="544"/>
    </row>
    <row r="7" spans="1:26">
      <c r="B7" s="764"/>
      <c r="C7" s="251">
        <v>2016</v>
      </c>
      <c r="D7" s="57">
        <v>2017</v>
      </c>
      <c r="E7" s="57" t="s">
        <v>131</v>
      </c>
      <c r="F7" s="57" t="s">
        <v>132</v>
      </c>
      <c r="G7" s="57" t="s">
        <v>133</v>
      </c>
      <c r="H7" s="57" t="s">
        <v>134</v>
      </c>
      <c r="I7" s="57" t="s">
        <v>135</v>
      </c>
      <c r="J7" s="57" t="s">
        <v>136</v>
      </c>
      <c r="K7" s="57" t="s">
        <v>137</v>
      </c>
      <c r="L7" s="416" t="s">
        <v>138</v>
      </c>
      <c r="M7" s="57" t="s">
        <v>139</v>
      </c>
      <c r="N7" s="57" t="s">
        <v>140</v>
      </c>
      <c r="O7" s="57" t="s">
        <v>141</v>
      </c>
      <c r="P7" s="549" t="s">
        <v>723</v>
      </c>
      <c r="Q7" s="549" t="s">
        <v>774</v>
      </c>
      <c r="R7" s="549" t="s">
        <v>914</v>
      </c>
      <c r="S7" s="549" t="s">
        <v>1058</v>
      </c>
      <c r="T7" s="549" t="s">
        <v>1083</v>
      </c>
      <c r="U7" s="549" t="s">
        <v>1131</v>
      </c>
      <c r="V7" s="549" t="s">
        <v>1238</v>
      </c>
    </row>
    <row r="8" spans="1:26">
      <c r="B8" s="44" t="s">
        <v>142</v>
      </c>
      <c r="C8" s="58">
        <v>8774335.9359499998</v>
      </c>
      <c r="D8" s="58">
        <v>3050501.9190743743</v>
      </c>
      <c r="E8" s="58">
        <v>627253</v>
      </c>
      <c r="F8" s="58">
        <v>665797</v>
      </c>
      <c r="G8" s="58">
        <v>1290219</v>
      </c>
      <c r="H8" s="58">
        <v>1108302</v>
      </c>
      <c r="I8" s="58">
        <v>846080</v>
      </c>
      <c r="J8" s="58">
        <v>1094524</v>
      </c>
      <c r="K8" s="58">
        <f t="shared" ref="K8:Q8" si="0">SUM(K9:K13)</f>
        <v>855963</v>
      </c>
      <c r="L8" s="318">
        <f t="shared" si="0"/>
        <v>1018898</v>
      </c>
      <c r="M8" s="58">
        <f t="shared" si="0"/>
        <v>979128</v>
      </c>
      <c r="N8" s="58">
        <f t="shared" si="0"/>
        <v>1723910</v>
      </c>
      <c r="O8" s="58">
        <f t="shared" si="0"/>
        <v>1204440</v>
      </c>
      <c r="P8" s="316">
        <f t="shared" si="0"/>
        <v>382214</v>
      </c>
      <c r="Q8" s="316">
        <f t="shared" si="0"/>
        <v>1260391</v>
      </c>
      <c r="R8" s="316">
        <v>1703349.0490000001</v>
      </c>
      <c r="S8" s="264">
        <f>SUM(S9:S13)</f>
        <v>1708800.3470000001</v>
      </c>
      <c r="T8" s="264">
        <f t="shared" ref="T8" si="1">SUM(T9:T13)</f>
        <v>1663140.7660000003</v>
      </c>
      <c r="U8" s="264">
        <v>1537177</v>
      </c>
      <c r="V8" s="264">
        <f>+[31]EEFF_TE_Bra!V8</f>
        <v>1895817.2849399999</v>
      </c>
    </row>
    <row r="9" spans="1:26">
      <c r="B9" s="44" t="s">
        <v>143</v>
      </c>
      <c r="C9" s="58">
        <v>171901.93595000001</v>
      </c>
      <c r="D9" s="58">
        <v>247126</v>
      </c>
      <c r="E9" s="58">
        <v>80136</v>
      </c>
      <c r="F9" s="58">
        <v>113491</v>
      </c>
      <c r="G9" s="58">
        <v>80464</v>
      </c>
      <c r="H9" s="58">
        <v>113024</v>
      </c>
      <c r="I9" s="58">
        <v>72374</v>
      </c>
      <c r="J9" s="58">
        <v>145664</v>
      </c>
      <c r="K9" s="58">
        <v>178632</v>
      </c>
      <c r="L9" s="318">
        <v>411855</v>
      </c>
      <c r="M9" s="58">
        <v>193571</v>
      </c>
      <c r="N9" s="58">
        <v>198081</v>
      </c>
      <c r="O9" s="58">
        <v>207091</v>
      </c>
      <c r="P9" s="316">
        <v>583719</v>
      </c>
      <c r="Q9" s="316">
        <v>235645</v>
      </c>
      <c r="R9" s="316">
        <v>262225</v>
      </c>
      <c r="S9" s="264">
        <v>340255</v>
      </c>
      <c r="T9" s="264">
        <v>312113</v>
      </c>
      <c r="U9" s="264">
        <v>397080</v>
      </c>
      <c r="V9" s="264">
        <f>+[31]EEFF_TE_Bra!V9</f>
        <v>523797</v>
      </c>
    </row>
    <row r="10" spans="1:26">
      <c r="B10" s="44" t="s">
        <v>921</v>
      </c>
      <c r="C10" s="58">
        <v>835786</v>
      </c>
      <c r="D10" s="58">
        <v>880901</v>
      </c>
      <c r="E10" s="58">
        <v>235019</v>
      </c>
      <c r="F10" s="58">
        <v>242854</v>
      </c>
      <c r="G10" s="58">
        <v>276953</v>
      </c>
      <c r="H10" s="58">
        <v>287708</v>
      </c>
      <c r="I10" s="58">
        <v>282515</v>
      </c>
      <c r="J10" s="58">
        <v>277434</v>
      </c>
      <c r="K10" s="58">
        <v>250903</v>
      </c>
      <c r="L10" s="318">
        <v>297668</v>
      </c>
      <c r="M10" s="58">
        <v>297169</v>
      </c>
      <c r="N10" s="58">
        <v>170126</v>
      </c>
      <c r="O10" s="58">
        <v>271689</v>
      </c>
      <c r="P10" s="316">
        <v>332142</v>
      </c>
      <c r="Q10" s="316">
        <v>318120</v>
      </c>
      <c r="R10" s="316">
        <v>172417.00099999999</v>
      </c>
      <c r="S10" s="264">
        <v>358544.696</v>
      </c>
      <c r="T10" s="264">
        <v>280957.07999999996</v>
      </c>
      <c r="U10" s="264">
        <v>293705</v>
      </c>
      <c r="V10" s="264">
        <f>+[31]EEFF_TE_Bra!V10</f>
        <v>343379</v>
      </c>
    </row>
    <row r="11" spans="1:26">
      <c r="B11" s="44" t="s">
        <v>730</v>
      </c>
      <c r="C11" s="58"/>
      <c r="D11" s="58"/>
      <c r="E11" s="58"/>
      <c r="F11" s="58"/>
      <c r="G11" s="58"/>
      <c r="H11" s="58"/>
      <c r="I11" s="58"/>
      <c r="J11" s="58"/>
      <c r="K11" s="58"/>
      <c r="L11" s="318">
        <v>464490</v>
      </c>
      <c r="M11" s="58"/>
      <c r="N11" s="58"/>
      <c r="O11" s="58"/>
      <c r="P11" s="316">
        <v>152998</v>
      </c>
      <c r="Q11" s="316">
        <v>20922</v>
      </c>
      <c r="R11" s="316">
        <v>62233</v>
      </c>
      <c r="S11" s="264">
        <v>21169</v>
      </c>
      <c r="T11" s="264">
        <v>37862</v>
      </c>
      <c r="U11" s="264">
        <v>3914</v>
      </c>
      <c r="V11" s="264">
        <f>+[31]EEFF_TE_Bra!V11</f>
        <v>13030</v>
      </c>
    </row>
    <row r="12" spans="1:26">
      <c r="B12" s="44" t="s">
        <v>915</v>
      </c>
      <c r="C12" s="58">
        <v>7743248</v>
      </c>
      <c r="D12" s="58">
        <v>1896406</v>
      </c>
      <c r="E12" s="58">
        <v>305366</v>
      </c>
      <c r="F12" s="58">
        <v>302657</v>
      </c>
      <c r="G12" s="58">
        <v>926265</v>
      </c>
      <c r="H12" s="58">
        <v>700729</v>
      </c>
      <c r="I12" s="58">
        <v>484169</v>
      </c>
      <c r="J12" s="58">
        <v>664271</v>
      </c>
      <c r="K12" s="58">
        <v>416548</v>
      </c>
      <c r="L12" s="318">
        <v>-162906</v>
      </c>
      <c r="M12" s="58">
        <v>480688</v>
      </c>
      <c r="N12" s="58">
        <v>1348221</v>
      </c>
      <c r="O12" s="58">
        <v>713957</v>
      </c>
      <c r="P12" s="316">
        <v>-694981</v>
      </c>
      <c r="Q12" s="316">
        <v>679010</v>
      </c>
      <c r="R12" s="316">
        <v>1187403.048</v>
      </c>
      <c r="S12" s="264">
        <v>977017.65099999995</v>
      </c>
      <c r="T12" s="264">
        <v>1024225.6860000002</v>
      </c>
      <c r="U12" s="264">
        <v>839064</v>
      </c>
      <c r="V12" s="264">
        <f>+[31]EEFF_TE_Bra!V12</f>
        <v>1010608</v>
      </c>
    </row>
    <row r="13" spans="1:26">
      <c r="B13" s="44" t="s">
        <v>916</v>
      </c>
      <c r="C13" s="58">
        <v>23400</v>
      </c>
      <c r="D13" s="58">
        <v>26068</v>
      </c>
      <c r="E13" s="58">
        <v>6732</v>
      </c>
      <c r="F13" s="58">
        <v>6795</v>
      </c>
      <c r="G13" s="58">
        <v>6537</v>
      </c>
      <c r="H13" s="58">
        <v>6841</v>
      </c>
      <c r="I13" s="58">
        <v>7022</v>
      </c>
      <c r="J13" s="58">
        <v>7155</v>
      </c>
      <c r="K13" s="58">
        <v>9880</v>
      </c>
      <c r="L13" s="318">
        <v>7791</v>
      </c>
      <c r="M13" s="58">
        <v>7700</v>
      </c>
      <c r="N13" s="58">
        <v>7482</v>
      </c>
      <c r="O13" s="58">
        <v>11703</v>
      </c>
      <c r="P13" s="316">
        <v>8336</v>
      </c>
      <c r="Q13" s="316">
        <v>6694</v>
      </c>
      <c r="R13" s="316">
        <v>19071</v>
      </c>
      <c r="S13" s="264">
        <v>11814</v>
      </c>
      <c r="T13" s="264">
        <v>7983</v>
      </c>
      <c r="U13" s="264">
        <v>3414</v>
      </c>
      <c r="V13" s="264">
        <f>+[31]EEFF_TE_Bra!V13</f>
        <v>5003.2849400000014</v>
      </c>
    </row>
    <row r="14" spans="1:26">
      <c r="B14" s="252" t="s">
        <v>145</v>
      </c>
      <c r="C14" s="58">
        <v>-988720</v>
      </c>
      <c r="D14" s="58">
        <v>-349308</v>
      </c>
      <c r="E14" s="58">
        <v>-80646</v>
      </c>
      <c r="F14" s="58">
        <v>-85196</v>
      </c>
      <c r="G14" s="58">
        <v>-154868</v>
      </c>
      <c r="H14" s="58">
        <v>-136874</v>
      </c>
      <c r="I14" s="58">
        <v>-113784</v>
      </c>
      <c r="J14" s="58">
        <v>-134732</v>
      </c>
      <c r="K14" s="58">
        <v>-119137</v>
      </c>
      <c r="L14" s="318">
        <v>-115950</v>
      </c>
      <c r="M14" s="316">
        <v>-127001</v>
      </c>
      <c r="N14" s="58">
        <v>-205839</v>
      </c>
      <c r="O14" s="58">
        <v>-132865</v>
      </c>
      <c r="P14" s="316">
        <v>-80936</v>
      </c>
      <c r="Q14" s="316">
        <v>-172373</v>
      </c>
      <c r="R14" s="316">
        <v>-192213.75200000001</v>
      </c>
      <c r="S14" s="264">
        <v>-211134.46899999998</v>
      </c>
      <c r="T14" s="264">
        <v>-225830.00799999997</v>
      </c>
      <c r="U14" s="264">
        <v>-177116.17366999999</v>
      </c>
      <c r="V14" s="264">
        <f>+[31]EEFF_TE_Bra!V14</f>
        <v>-229784</v>
      </c>
    </row>
    <row r="15" spans="1:26">
      <c r="B15" s="253" t="s">
        <v>146</v>
      </c>
      <c r="C15" s="67">
        <f>SUM(C9:C14)</f>
        <v>7785615.9359499998</v>
      </c>
      <c r="D15" s="67">
        <f t="shared" ref="D15:Q15" si="2">SUM(D9:D14)</f>
        <v>2701193</v>
      </c>
      <c r="E15" s="67">
        <f t="shared" si="2"/>
        <v>546607</v>
      </c>
      <c r="F15" s="67">
        <f t="shared" si="2"/>
        <v>580601</v>
      </c>
      <c r="G15" s="67">
        <f t="shared" si="2"/>
        <v>1135351</v>
      </c>
      <c r="H15" s="67">
        <f t="shared" si="2"/>
        <v>971428</v>
      </c>
      <c r="I15" s="67">
        <f t="shared" si="2"/>
        <v>732296</v>
      </c>
      <c r="J15" s="67">
        <f t="shared" si="2"/>
        <v>959792</v>
      </c>
      <c r="K15" s="67">
        <f t="shared" si="2"/>
        <v>736826</v>
      </c>
      <c r="L15" s="545">
        <f t="shared" si="2"/>
        <v>902948</v>
      </c>
      <c r="M15" s="67">
        <f t="shared" si="2"/>
        <v>852127</v>
      </c>
      <c r="N15" s="67">
        <f t="shared" si="2"/>
        <v>1518071</v>
      </c>
      <c r="O15" s="67">
        <f t="shared" si="2"/>
        <v>1071575</v>
      </c>
      <c r="P15" s="560">
        <f t="shared" si="2"/>
        <v>301278</v>
      </c>
      <c r="Q15" s="560">
        <f t="shared" si="2"/>
        <v>1088018</v>
      </c>
      <c r="R15" s="560">
        <f>SUM(R9:R14)</f>
        <v>1511135.2969999998</v>
      </c>
      <c r="S15" s="560">
        <f>SUM(S9:S14)</f>
        <v>1497665.878</v>
      </c>
      <c r="T15" s="560">
        <f t="shared" ref="T15" si="3">SUM(T9:T14)</f>
        <v>1437310.7580000004</v>
      </c>
      <c r="U15" s="560">
        <v>1360060.8263300001</v>
      </c>
      <c r="V15" s="560">
        <f>+[31]EEFF_TE_Bra!V15</f>
        <v>1666033.2849399999</v>
      </c>
    </row>
    <row r="16" spans="1:26">
      <c r="B16" s="252" t="s">
        <v>147</v>
      </c>
      <c r="C16" s="58">
        <f>SUM(C17:C21)</f>
        <v>-448802</v>
      </c>
      <c r="D16" s="58">
        <f t="shared" ref="D16:O16" si="4">SUM(D17:D21)</f>
        <v>-723671.99031999998</v>
      </c>
      <c r="E16" s="58">
        <f t="shared" si="4"/>
        <v>-190804</v>
      </c>
      <c r="F16" s="58">
        <f t="shared" si="4"/>
        <v>-229809</v>
      </c>
      <c r="G16" s="58">
        <f t="shared" si="4"/>
        <v>-196145</v>
      </c>
      <c r="H16" s="58">
        <f t="shared" si="4"/>
        <v>-275125</v>
      </c>
      <c r="I16" s="58">
        <f t="shared" si="4"/>
        <v>-202375</v>
      </c>
      <c r="J16" s="58">
        <f t="shared" si="4"/>
        <v>-309539</v>
      </c>
      <c r="K16" s="58">
        <f t="shared" si="4"/>
        <v>-325485</v>
      </c>
      <c r="L16" s="318">
        <f>SUM(L17:L22)</f>
        <v>-336604</v>
      </c>
      <c r="M16" s="316">
        <f t="shared" si="4"/>
        <v>-268335</v>
      </c>
      <c r="N16" s="58">
        <f t="shared" si="4"/>
        <v>-321436</v>
      </c>
      <c r="O16" s="58">
        <f t="shared" si="4"/>
        <v>-375755</v>
      </c>
      <c r="P16" s="316">
        <f>SUM(P17:P22)</f>
        <v>1053645</v>
      </c>
      <c r="Q16" s="316">
        <f t="shared" ref="Q16" si="5">SUM(Q17:Q22)</f>
        <v>-325176</v>
      </c>
      <c r="R16" s="316">
        <v>-375359.18078999995</v>
      </c>
      <c r="S16" s="264">
        <f>SUM(S17:S21)</f>
        <v>-452534.15589000005</v>
      </c>
      <c r="T16" s="264">
        <f>SUM(T17:T21)</f>
        <v>-483393.13125999994</v>
      </c>
      <c r="U16" s="264">
        <v>-525021.23652999999</v>
      </c>
      <c r="V16" s="264">
        <f>+[31]EEFF_TE_Bra!V16</f>
        <v>-636025.78725000005</v>
      </c>
    </row>
    <row r="17" spans="2:22">
      <c r="B17" s="44" t="s">
        <v>148</v>
      </c>
      <c r="C17" s="58">
        <v>-295948</v>
      </c>
      <c r="D17" s="58">
        <v>-315320</v>
      </c>
      <c r="E17" s="58">
        <v>-81033</v>
      </c>
      <c r="F17" s="58">
        <v>-84181</v>
      </c>
      <c r="G17" s="58">
        <v>-82624</v>
      </c>
      <c r="H17" s="58">
        <v>-87689</v>
      </c>
      <c r="I17" s="58">
        <v>-86137</v>
      </c>
      <c r="J17" s="58">
        <v>-89075</v>
      </c>
      <c r="K17" s="58">
        <v>-90124</v>
      </c>
      <c r="L17" s="318">
        <v>-82017</v>
      </c>
      <c r="M17" s="316">
        <v>-77351</v>
      </c>
      <c r="N17" s="58">
        <v>-80005</v>
      </c>
      <c r="O17" s="58">
        <v>-82944</v>
      </c>
      <c r="P17" s="316">
        <v>-100926</v>
      </c>
      <c r="Q17" s="316">
        <v>-95897</v>
      </c>
      <c r="R17" s="316">
        <v>-100754.545</v>
      </c>
      <c r="S17" s="264">
        <v>-103499.579</v>
      </c>
      <c r="T17" s="264">
        <v>-104536.06700000001</v>
      </c>
      <c r="U17" s="264">
        <v>-105695</v>
      </c>
      <c r="V17" s="264">
        <f>+[31]EEFF_TE_Bra!V17</f>
        <v>-105747.6075</v>
      </c>
    </row>
    <row r="18" spans="2:22">
      <c r="B18" s="44" t="s">
        <v>149</v>
      </c>
      <c r="C18" s="58">
        <v>-86643</v>
      </c>
      <c r="D18" s="58">
        <v>-186476</v>
      </c>
      <c r="E18" s="58">
        <v>-60873</v>
      </c>
      <c r="F18" s="58">
        <v>-79603</v>
      </c>
      <c r="G18" s="58">
        <v>-40385</v>
      </c>
      <c r="H18" s="58">
        <v>-69667</v>
      </c>
      <c r="I18" s="58">
        <v>-47151</v>
      </c>
      <c r="J18" s="58">
        <v>-94527</v>
      </c>
      <c r="K18" s="58">
        <v>-119044</v>
      </c>
      <c r="L18" s="318">
        <v>-127574</v>
      </c>
      <c r="M18" s="316">
        <v>-103860</v>
      </c>
      <c r="N18" s="58">
        <v>-146909</v>
      </c>
      <c r="O18" s="58">
        <v>-100144</v>
      </c>
      <c r="P18" s="316">
        <v>-104994</v>
      </c>
      <c r="Q18" s="316">
        <v>-71440</v>
      </c>
      <c r="R18" s="316">
        <v>-110857</v>
      </c>
      <c r="S18" s="264">
        <v>-156998.30100000001</v>
      </c>
      <c r="T18" s="264">
        <v>-174871.647</v>
      </c>
      <c r="U18" s="264">
        <v>-234023</v>
      </c>
      <c r="V18" s="264">
        <f>+[31]EEFF_TE_Bra!V18</f>
        <v>-291728.32964999997</v>
      </c>
    </row>
    <row r="19" spans="2:22">
      <c r="B19" s="44" t="s">
        <v>150</v>
      </c>
      <c r="C19" s="58"/>
      <c r="D19" s="58">
        <v>-173818.99032000001</v>
      </c>
      <c r="E19" s="58">
        <v>-37990</v>
      </c>
      <c r="F19" s="58">
        <v>-53464</v>
      </c>
      <c r="G19" s="58">
        <v>-59688</v>
      </c>
      <c r="H19" s="58">
        <v>-90811</v>
      </c>
      <c r="I19" s="58">
        <v>-48025</v>
      </c>
      <c r="J19" s="58">
        <v>-93523</v>
      </c>
      <c r="K19" s="58">
        <v>-92669</v>
      </c>
      <c r="L19" s="318">
        <v>-82129</v>
      </c>
      <c r="M19" s="316">
        <v>-63413</v>
      </c>
      <c r="N19" s="58">
        <v>-71989</v>
      </c>
      <c r="O19" s="58">
        <v>-121380</v>
      </c>
      <c r="P19" s="316">
        <v>-155094</v>
      </c>
      <c r="Q19" s="316">
        <v>-127786</v>
      </c>
      <c r="R19" s="316">
        <v>-127486.41661999999</v>
      </c>
      <c r="S19" s="264">
        <v>-130198.40789</v>
      </c>
      <c r="T19" s="264">
        <v>-159511.49603999997</v>
      </c>
      <c r="U19" s="264">
        <v>-136301</v>
      </c>
      <c r="V19" s="264">
        <f>+[31]EEFF_TE_Bra!V19</f>
        <v>-171009.84599</v>
      </c>
    </row>
    <row r="20" spans="2:22">
      <c r="B20" s="44" t="s">
        <v>151</v>
      </c>
      <c r="C20" s="58" t="s">
        <v>152</v>
      </c>
      <c r="D20" s="58">
        <v>-9626</v>
      </c>
      <c r="E20" s="58"/>
      <c r="F20" s="58">
        <v>-2232</v>
      </c>
      <c r="G20" s="58">
        <v>-2261</v>
      </c>
      <c r="H20" s="58">
        <v>-2486</v>
      </c>
      <c r="I20" s="58">
        <v>-5242</v>
      </c>
      <c r="J20" s="58">
        <v>-5160</v>
      </c>
      <c r="K20" s="58">
        <v>-5014</v>
      </c>
      <c r="L20" s="318">
        <v>-4547</v>
      </c>
      <c r="M20" s="316">
        <v>-4468</v>
      </c>
      <c r="N20" s="58">
        <v>-4697</v>
      </c>
      <c r="O20" s="58">
        <v>-5121</v>
      </c>
      <c r="P20" s="316">
        <v>-5505</v>
      </c>
      <c r="Q20" s="316">
        <v>-5119</v>
      </c>
      <c r="R20" s="316">
        <v>-4945.9470000000001</v>
      </c>
      <c r="S20" s="264">
        <v>-6214.5230000000001</v>
      </c>
      <c r="T20" s="264">
        <v>-6522.9110000000019</v>
      </c>
      <c r="U20" s="264">
        <v>-6921</v>
      </c>
      <c r="V20" s="264">
        <f>+[31]EEFF_TE_Bra!V20</f>
        <v>-6573</v>
      </c>
    </row>
    <row r="21" spans="2:22">
      <c r="B21" s="44" t="s">
        <v>144</v>
      </c>
      <c r="C21" s="58">
        <v>-66211</v>
      </c>
      <c r="D21" s="58">
        <v>-38431</v>
      </c>
      <c r="E21" s="58">
        <v>-10908</v>
      </c>
      <c r="F21" s="58">
        <v>-10329</v>
      </c>
      <c r="G21" s="58">
        <v>-11187</v>
      </c>
      <c r="H21" s="58">
        <v>-24472</v>
      </c>
      <c r="I21" s="58">
        <v>-15820</v>
      </c>
      <c r="J21" s="58">
        <v>-27254</v>
      </c>
      <c r="K21" s="58">
        <v>-18634</v>
      </c>
      <c r="L21" s="318">
        <v>-13630</v>
      </c>
      <c r="M21" s="316">
        <v>-19243</v>
      </c>
      <c r="N21" s="58">
        <v>-17836</v>
      </c>
      <c r="O21" s="58">
        <v>-66166</v>
      </c>
      <c r="P21" s="316">
        <v>-57458</v>
      </c>
      <c r="Q21" s="316">
        <v>-24934</v>
      </c>
      <c r="R21" s="316">
        <v>-31315.27217</v>
      </c>
      <c r="S21" s="264">
        <v>-55623.345000000001</v>
      </c>
      <c r="T21" s="264">
        <v>-37951.01021999988</v>
      </c>
      <c r="U21" s="264">
        <v>-42081.236529999995</v>
      </c>
      <c r="V21" s="264">
        <f>+[31]EEFF_TE_Bra!V21</f>
        <v>-60967.004110000096</v>
      </c>
    </row>
    <row r="22" spans="2:22">
      <c r="B22" s="252" t="s">
        <v>731</v>
      </c>
      <c r="C22" s="58"/>
      <c r="D22" s="58"/>
      <c r="E22" s="58"/>
      <c r="F22" s="58"/>
      <c r="G22" s="58"/>
      <c r="H22" s="58"/>
      <c r="I22" s="58"/>
      <c r="J22" s="58"/>
      <c r="K22" s="58"/>
      <c r="L22" s="318">
        <v>-26707</v>
      </c>
      <c r="M22" s="58"/>
      <c r="N22" s="58"/>
      <c r="O22" s="58"/>
      <c r="P22" s="316">
        <v>1477622</v>
      </c>
      <c r="Q22" s="316">
        <v>0</v>
      </c>
      <c r="R22" s="316">
        <v>53911</v>
      </c>
      <c r="S22" s="264">
        <v>-13067</v>
      </c>
      <c r="T22" s="264">
        <v>13930</v>
      </c>
      <c r="U22" s="264">
        <v>0</v>
      </c>
      <c r="V22" s="264">
        <f>+[31]EEFF_TE_Bra!V22</f>
        <v>0</v>
      </c>
    </row>
    <row r="23" spans="2:22">
      <c r="B23" s="253" t="s">
        <v>153</v>
      </c>
      <c r="C23" s="67">
        <f>SUM(C15:C16)</f>
        <v>7336813.9359499998</v>
      </c>
      <c r="D23" s="67">
        <f>SUM(D15:D16)</f>
        <v>1977521.0096800001</v>
      </c>
      <c r="E23" s="67">
        <f t="shared" ref="E23:Q23" si="6">SUM(E15:E16)</f>
        <v>355803</v>
      </c>
      <c r="F23" s="67">
        <f t="shared" si="6"/>
        <v>350792</v>
      </c>
      <c r="G23" s="67">
        <f t="shared" si="6"/>
        <v>939206</v>
      </c>
      <c r="H23" s="67">
        <f t="shared" si="6"/>
        <v>696303</v>
      </c>
      <c r="I23" s="67">
        <f t="shared" si="6"/>
        <v>529921</v>
      </c>
      <c r="J23" s="67">
        <f t="shared" si="6"/>
        <v>650253</v>
      </c>
      <c r="K23" s="67">
        <f t="shared" si="6"/>
        <v>411341</v>
      </c>
      <c r="L23" s="545">
        <f t="shared" si="6"/>
        <v>566344</v>
      </c>
      <c r="M23" s="67">
        <f>SUM(M15:M16)</f>
        <v>583792</v>
      </c>
      <c r="N23" s="67">
        <f t="shared" si="6"/>
        <v>1196635</v>
      </c>
      <c r="O23" s="67">
        <f t="shared" si="6"/>
        <v>695820</v>
      </c>
      <c r="P23" s="560">
        <f>SUM(P15:P16)+P22</f>
        <v>2832545</v>
      </c>
      <c r="Q23" s="560">
        <f t="shared" si="6"/>
        <v>762842</v>
      </c>
      <c r="R23" s="560">
        <f>SUM(R15:R16)+R22</f>
        <v>1189687.1162099999</v>
      </c>
      <c r="S23" s="600">
        <f>((SUM(S15:S16)+S22))</f>
        <v>1032064.72211</v>
      </c>
      <c r="T23" s="600">
        <f>((SUM(T15:T16)+T22))</f>
        <v>967847.62674000044</v>
      </c>
      <c r="U23" s="600">
        <v>835039.58980000007</v>
      </c>
      <c r="V23" s="600">
        <f>+[31]EEFF_TE_Bra!V23</f>
        <v>1030007.4976899999</v>
      </c>
    </row>
    <row r="24" spans="2:22">
      <c r="B24" s="253" t="s">
        <v>154</v>
      </c>
      <c r="C24" s="67">
        <f>SUM(C25:C29)</f>
        <v>-109929</v>
      </c>
      <c r="D24" s="67">
        <f t="shared" ref="D24:T24" si="7">SUM(D25:D29)</f>
        <v>-66216</v>
      </c>
      <c r="E24" s="67">
        <f t="shared" si="7"/>
        <v>-35293</v>
      </c>
      <c r="F24" s="67">
        <f t="shared" si="7"/>
        <v>-25692</v>
      </c>
      <c r="G24" s="67">
        <f t="shared" si="7"/>
        <v>-49331</v>
      </c>
      <c r="H24" s="67">
        <f t="shared" si="7"/>
        <v>-31898</v>
      </c>
      <c r="I24" s="67">
        <f t="shared" si="7"/>
        <v>-54876</v>
      </c>
      <c r="J24" s="67">
        <f t="shared" si="7"/>
        <v>-49160</v>
      </c>
      <c r="K24" s="67">
        <f t="shared" si="7"/>
        <v>-34802</v>
      </c>
      <c r="L24" s="545">
        <f t="shared" si="7"/>
        <v>-46421</v>
      </c>
      <c r="M24" s="67">
        <f t="shared" si="7"/>
        <v>-49311</v>
      </c>
      <c r="N24" s="67">
        <f t="shared" si="7"/>
        <v>-27825</v>
      </c>
      <c r="O24" s="67">
        <f t="shared" si="7"/>
        <v>-54557</v>
      </c>
      <c r="P24" s="560">
        <f t="shared" si="7"/>
        <v>-77482</v>
      </c>
      <c r="Q24" s="560">
        <f t="shared" si="7"/>
        <v>-115769</v>
      </c>
      <c r="R24" s="560">
        <f t="shared" si="7"/>
        <v>-138931.641</v>
      </c>
      <c r="S24" s="600">
        <f t="shared" si="7"/>
        <v>-160000.11098</v>
      </c>
      <c r="T24" s="600">
        <f t="shared" si="7"/>
        <v>-216292.45220000044</v>
      </c>
      <c r="U24" s="600">
        <v>-230290.90281</v>
      </c>
      <c r="V24" s="600">
        <f>+[31]EEFF_TE_Bra!V24</f>
        <v>-301284.34393999999</v>
      </c>
    </row>
    <row r="25" spans="2:22">
      <c r="B25" s="44" t="s">
        <v>155</v>
      </c>
      <c r="C25" s="58">
        <v>68032</v>
      </c>
      <c r="D25" s="58">
        <v>43907</v>
      </c>
      <c r="E25" s="58">
        <v>10929</v>
      </c>
      <c r="F25" s="58">
        <v>18347</v>
      </c>
      <c r="G25" s="58">
        <v>19329</v>
      </c>
      <c r="H25" s="58">
        <v>25950</v>
      </c>
      <c r="I25" s="58">
        <v>14183</v>
      </c>
      <c r="J25" s="58">
        <v>18601</v>
      </c>
      <c r="K25" s="58">
        <v>19911</v>
      </c>
      <c r="L25" s="318">
        <v>13050</v>
      </c>
      <c r="M25" s="316">
        <v>21983</v>
      </c>
      <c r="N25" s="58">
        <v>10446</v>
      </c>
      <c r="O25" s="58">
        <v>8539</v>
      </c>
      <c r="P25" s="316">
        <v>8279</v>
      </c>
      <c r="Q25" s="316">
        <v>9761</v>
      </c>
      <c r="R25" s="316">
        <v>15396.054</v>
      </c>
      <c r="S25" s="264">
        <v>15629.993020000002</v>
      </c>
      <c r="T25" s="264">
        <v>28320.839980000004</v>
      </c>
      <c r="U25" s="264">
        <v>25064</v>
      </c>
      <c r="V25" s="264">
        <f>+[31]EEFF_TE_Bra!V25</f>
        <v>35115.753249999994</v>
      </c>
    </row>
    <row r="26" spans="2:22">
      <c r="B26" s="44" t="s">
        <v>156</v>
      </c>
      <c r="C26" s="58">
        <v>-33902</v>
      </c>
      <c r="D26" s="58">
        <v>-31989</v>
      </c>
      <c r="E26" s="58">
        <v>-11252</v>
      </c>
      <c r="F26" s="58">
        <v>-6447</v>
      </c>
      <c r="G26" s="58">
        <v>-17390</v>
      </c>
      <c r="H26" s="58">
        <v>-10500</v>
      </c>
      <c r="I26" s="58">
        <v>-15154</v>
      </c>
      <c r="J26" s="58">
        <v>-17631</v>
      </c>
      <c r="K26" s="58">
        <v>-6225</v>
      </c>
      <c r="L26" s="318">
        <v>-7350</v>
      </c>
      <c r="M26" s="316">
        <v>-26159</v>
      </c>
      <c r="N26" s="58">
        <v>9032</v>
      </c>
      <c r="O26" s="58">
        <v>-15182</v>
      </c>
      <c r="P26" s="316">
        <v>-42922</v>
      </c>
      <c r="Q26" s="316">
        <v>-68131</v>
      </c>
      <c r="R26" s="316">
        <v>-71015</v>
      </c>
      <c r="S26" s="264">
        <v>-75402.178</v>
      </c>
      <c r="T26" s="264">
        <v>-118659.558</v>
      </c>
      <c r="U26" s="264">
        <v>-100618</v>
      </c>
      <c r="V26" s="264">
        <f>+[31]EEFF_TE_Bra!V26</f>
        <v>-168431</v>
      </c>
    </row>
    <row r="27" spans="2:22">
      <c r="B27" s="44" t="s">
        <v>157</v>
      </c>
      <c r="C27" s="58" t="s">
        <v>152</v>
      </c>
      <c r="D27" s="58">
        <v>-10483</v>
      </c>
      <c r="E27" s="58"/>
      <c r="F27" s="58">
        <v>-580</v>
      </c>
      <c r="G27" s="58">
        <v>-599</v>
      </c>
      <c r="H27" s="58">
        <v>-554</v>
      </c>
      <c r="I27" s="58">
        <v>-205</v>
      </c>
      <c r="J27" s="58">
        <v>-622</v>
      </c>
      <c r="K27" s="58">
        <v>-626</v>
      </c>
      <c r="L27" s="318">
        <v>-667</v>
      </c>
      <c r="M27" s="316">
        <v>-418</v>
      </c>
      <c r="N27" s="58">
        <v>-656</v>
      </c>
      <c r="O27" s="58">
        <v>-613</v>
      </c>
      <c r="P27" s="316">
        <v>-622</v>
      </c>
      <c r="Q27" s="316">
        <v>908</v>
      </c>
      <c r="R27" s="316">
        <v>-109.729</v>
      </c>
      <c r="S27" s="264">
        <v>-23.454999999999984</v>
      </c>
      <c r="T27" s="264">
        <v>-155.99099999999999</v>
      </c>
      <c r="U27" s="264">
        <v>174</v>
      </c>
      <c r="V27" s="264">
        <f>+[31]EEFF_TE_Bra!V27</f>
        <v>-159</v>
      </c>
    </row>
    <row r="28" spans="2:22">
      <c r="B28" s="44" t="s">
        <v>158</v>
      </c>
      <c r="C28" s="58">
        <v>-143799</v>
      </c>
      <c r="D28" s="58">
        <v>-111504</v>
      </c>
      <c r="E28" s="58">
        <v>-32327</v>
      </c>
      <c r="F28" s="58">
        <v>-35052</v>
      </c>
      <c r="G28" s="58">
        <v>-40182</v>
      </c>
      <c r="H28" s="58">
        <v>-39491</v>
      </c>
      <c r="I28" s="58">
        <v>-36827</v>
      </c>
      <c r="J28" s="58">
        <v>-36411</v>
      </c>
      <c r="K28" s="58">
        <v>-37561</v>
      </c>
      <c r="L28" s="318">
        <v>-36423</v>
      </c>
      <c r="M28" s="316">
        <v>-37261</v>
      </c>
      <c r="N28" s="58">
        <v>-41114</v>
      </c>
      <c r="O28" s="58">
        <v>-46828</v>
      </c>
      <c r="P28" s="316">
        <v>-43062</v>
      </c>
      <c r="Q28" s="316">
        <v>-63097</v>
      </c>
      <c r="R28" s="316">
        <v>-80114.930999999997</v>
      </c>
      <c r="S28" s="264">
        <v>-99642.702999999994</v>
      </c>
      <c r="T28" s="264">
        <v>-124744</v>
      </c>
      <c r="U28" s="264">
        <v>-146339</v>
      </c>
      <c r="V28" s="264">
        <f>+[31]EEFF_TE_Bra!V28</f>
        <v>-169482</v>
      </c>
    </row>
    <row r="29" spans="2:22">
      <c r="B29" s="252" t="s">
        <v>144</v>
      </c>
      <c r="C29" s="58">
        <v>-260</v>
      </c>
      <c r="D29" s="58">
        <v>43853</v>
      </c>
      <c r="E29" s="58">
        <v>-2643</v>
      </c>
      <c r="F29" s="58">
        <v>-1960</v>
      </c>
      <c r="G29" s="58">
        <v>-10489</v>
      </c>
      <c r="H29" s="58">
        <v>-7303</v>
      </c>
      <c r="I29" s="58">
        <v>-16873</v>
      </c>
      <c r="J29" s="58">
        <v>-13097</v>
      </c>
      <c r="K29" s="58">
        <v>-10301</v>
      </c>
      <c r="L29" s="318">
        <v>-15031</v>
      </c>
      <c r="M29" s="316">
        <v>-7456</v>
      </c>
      <c r="N29" s="58">
        <v>-5533</v>
      </c>
      <c r="O29" s="58">
        <v>-473</v>
      </c>
      <c r="P29" s="316">
        <v>845</v>
      </c>
      <c r="Q29" s="316">
        <v>4790</v>
      </c>
      <c r="R29" s="316">
        <v>-3088.0349999999999</v>
      </c>
      <c r="S29" s="264">
        <v>-561.76799999999992</v>
      </c>
      <c r="T29" s="264">
        <v>-1053.743180000437</v>
      </c>
      <c r="U29" s="264">
        <v>-8571.9028099999996</v>
      </c>
      <c r="V29" s="264">
        <f>+[31]EEFF_TE_Bra!V29</f>
        <v>1671.9028099999978</v>
      </c>
    </row>
    <row r="30" spans="2:22">
      <c r="B30" s="253" t="s">
        <v>159</v>
      </c>
      <c r="C30" s="67">
        <f>SUM(C23:C24)</f>
        <v>7226884.9359499998</v>
      </c>
      <c r="D30" s="67">
        <f>SUM(D23:D24)</f>
        <v>1911305.0096800001</v>
      </c>
      <c r="E30" s="67">
        <f t="shared" ref="E30:T30" si="8">SUM(E23:E24)</f>
        <v>320510</v>
      </c>
      <c r="F30" s="67">
        <f t="shared" si="8"/>
        <v>325100</v>
      </c>
      <c r="G30" s="67">
        <f t="shared" si="8"/>
        <v>889875</v>
      </c>
      <c r="H30" s="67">
        <f t="shared" si="8"/>
        <v>664405</v>
      </c>
      <c r="I30" s="67">
        <f t="shared" si="8"/>
        <v>475045</v>
      </c>
      <c r="J30" s="67">
        <f t="shared" si="8"/>
        <v>601093</v>
      </c>
      <c r="K30" s="67">
        <f t="shared" si="8"/>
        <v>376539</v>
      </c>
      <c r="L30" s="545">
        <f t="shared" si="8"/>
        <v>519923</v>
      </c>
      <c r="M30" s="67">
        <f>SUM(M23:M24)</f>
        <v>534481</v>
      </c>
      <c r="N30" s="67">
        <f t="shared" si="8"/>
        <v>1168810</v>
      </c>
      <c r="O30" s="67">
        <f t="shared" si="8"/>
        <v>641263</v>
      </c>
      <c r="P30" s="560">
        <f t="shared" si="8"/>
        <v>2755063</v>
      </c>
      <c r="Q30" s="560">
        <f t="shared" si="8"/>
        <v>647073</v>
      </c>
      <c r="R30" s="560">
        <f t="shared" si="8"/>
        <v>1050755.4752099998</v>
      </c>
      <c r="S30" s="560">
        <f t="shared" si="8"/>
        <v>872064.61112999998</v>
      </c>
      <c r="T30" s="560">
        <f t="shared" si="8"/>
        <v>751555.17454000004</v>
      </c>
      <c r="U30" s="560">
        <v>604748.68699000007</v>
      </c>
      <c r="V30" s="560">
        <f>+[31]EEFF_TE_Bra!V30</f>
        <v>728723.15374999982</v>
      </c>
    </row>
    <row r="31" spans="2:22">
      <c r="B31" s="44" t="s">
        <v>160</v>
      </c>
      <c r="C31" s="58">
        <v>267706.06404999999</v>
      </c>
      <c r="D31" s="58">
        <v>124806.38085220339</v>
      </c>
      <c r="E31" s="58">
        <v>20872</v>
      </c>
      <c r="F31" s="58">
        <v>26757</v>
      </c>
      <c r="G31" s="58">
        <v>95427</v>
      </c>
      <c r="H31" s="58">
        <v>63830</v>
      </c>
      <c r="I31" s="58">
        <v>34028</v>
      </c>
      <c r="J31" s="58">
        <v>47699</v>
      </c>
      <c r="K31" s="58">
        <v>47941</v>
      </c>
      <c r="L31" s="318">
        <v>50120</v>
      </c>
      <c r="M31" s="58">
        <v>132992</v>
      </c>
      <c r="N31" s="58">
        <v>-95475</v>
      </c>
      <c r="O31" s="58">
        <v>32657</v>
      </c>
      <c r="P31" s="316">
        <v>472827</v>
      </c>
      <c r="Q31" s="316">
        <v>124176</v>
      </c>
      <c r="R31" s="316">
        <v>122379.21144999994</v>
      </c>
      <c r="S31" s="316">
        <v>112173.77477000008</v>
      </c>
      <c r="T31" s="316">
        <v>159818.98731</v>
      </c>
      <c r="U31" s="316">
        <v>127909.44206</v>
      </c>
      <c r="V31" s="316">
        <f>+[31]EEFF_TE_Bra!V31</f>
        <v>181871.73069999999</v>
      </c>
    </row>
    <row r="32" spans="2:22">
      <c r="B32" s="44" t="s">
        <v>161</v>
      </c>
      <c r="C32" s="58">
        <v>-27939</v>
      </c>
      <c r="D32" s="58">
        <v>-55006</v>
      </c>
      <c r="E32" s="58">
        <v>4722</v>
      </c>
      <c r="F32" s="58">
        <v>-32</v>
      </c>
      <c r="G32" s="58">
        <v>-24446</v>
      </c>
      <c r="H32" s="58">
        <v>-14980</v>
      </c>
      <c r="I32" s="58">
        <v>191</v>
      </c>
      <c r="J32" s="58">
        <v>2569</v>
      </c>
      <c r="K32" s="58">
        <v>872</v>
      </c>
      <c r="L32" s="318">
        <v>-107</v>
      </c>
      <c r="M32" s="58">
        <v>4662</v>
      </c>
      <c r="N32" s="58">
        <v>146652</v>
      </c>
      <c r="O32" s="58">
        <v>-4511</v>
      </c>
      <c r="P32" s="316">
        <v>23368</v>
      </c>
      <c r="Q32" s="316">
        <v>-10686</v>
      </c>
      <c r="R32" s="316">
        <v>4194</v>
      </c>
      <c r="S32" s="264">
        <v>-7039</v>
      </c>
      <c r="T32" s="264">
        <v>-20241</v>
      </c>
      <c r="U32" s="264">
        <v>-6663</v>
      </c>
      <c r="V32" s="264">
        <f>+[31]EEFF_TE_Bra!V32</f>
        <v>4115</v>
      </c>
    </row>
    <row r="33" spans="2:22">
      <c r="B33" s="253" t="s">
        <v>162</v>
      </c>
      <c r="C33" s="67">
        <f t="shared" ref="C33:T33" si="9">SUM(C30:C32)</f>
        <v>7466652</v>
      </c>
      <c r="D33" s="67">
        <f t="shared" si="9"/>
        <v>1981105.3905322035</v>
      </c>
      <c r="E33" s="67">
        <f t="shared" si="9"/>
        <v>346104</v>
      </c>
      <c r="F33" s="67">
        <f t="shared" si="9"/>
        <v>351825</v>
      </c>
      <c r="G33" s="67">
        <f t="shared" si="9"/>
        <v>960856</v>
      </c>
      <c r="H33" s="67">
        <f t="shared" si="9"/>
        <v>713255</v>
      </c>
      <c r="I33" s="67">
        <f t="shared" si="9"/>
        <v>509264</v>
      </c>
      <c r="J33" s="67">
        <f t="shared" si="9"/>
        <v>651361</v>
      </c>
      <c r="K33" s="67">
        <f t="shared" si="9"/>
        <v>425352</v>
      </c>
      <c r="L33" s="545">
        <f t="shared" si="9"/>
        <v>569936</v>
      </c>
      <c r="M33" s="67">
        <f>SUM(M30:M32)</f>
        <v>672135</v>
      </c>
      <c r="N33" s="67">
        <f t="shared" si="9"/>
        <v>1219987</v>
      </c>
      <c r="O33" s="67">
        <f t="shared" si="9"/>
        <v>669409</v>
      </c>
      <c r="P33" s="560">
        <f t="shared" si="9"/>
        <v>3251258</v>
      </c>
      <c r="Q33" s="560">
        <f t="shared" si="9"/>
        <v>760563</v>
      </c>
      <c r="R33" s="560">
        <f t="shared" si="9"/>
        <v>1177328.6866599997</v>
      </c>
      <c r="S33" s="560">
        <f t="shared" si="9"/>
        <v>977199.38590000011</v>
      </c>
      <c r="T33" s="560">
        <f t="shared" si="9"/>
        <v>891133.16185000003</v>
      </c>
      <c r="U33" s="560">
        <v>725995.12905000011</v>
      </c>
      <c r="V33" s="560">
        <f>+[31]EEFF_TE_Bra!V33</f>
        <v>914709.88444999978</v>
      </c>
    </row>
    <row r="34" spans="2:22">
      <c r="B34" s="252" t="s">
        <v>163</v>
      </c>
      <c r="C34" s="58">
        <f>SUM(C35:C36)</f>
        <v>-2333912</v>
      </c>
      <c r="D34" s="58">
        <f t="shared" ref="D34:Q34" si="10">SUM(D35:D36)</f>
        <v>-595645</v>
      </c>
      <c r="E34" s="58">
        <f t="shared" si="10"/>
        <v>-105696</v>
      </c>
      <c r="F34" s="58">
        <f t="shared" si="10"/>
        <v>-103759</v>
      </c>
      <c r="G34" s="58">
        <f t="shared" si="10"/>
        <v>-234270</v>
      </c>
      <c r="H34" s="58">
        <f t="shared" si="10"/>
        <v>3714</v>
      </c>
      <c r="I34" s="58">
        <f t="shared" si="10"/>
        <v>-151873</v>
      </c>
      <c r="J34" s="58">
        <f t="shared" si="10"/>
        <v>-188680</v>
      </c>
      <c r="K34" s="58">
        <f t="shared" si="10"/>
        <v>14067</v>
      </c>
      <c r="L34" s="318">
        <f t="shared" si="10"/>
        <v>-49976</v>
      </c>
      <c r="M34" s="316">
        <f t="shared" si="10"/>
        <v>-150055</v>
      </c>
      <c r="N34" s="58">
        <f t="shared" si="10"/>
        <v>-339481</v>
      </c>
      <c r="O34" s="58">
        <f t="shared" si="10"/>
        <v>-173636</v>
      </c>
      <c r="P34" s="316">
        <f t="shared" si="10"/>
        <v>-175216</v>
      </c>
      <c r="Q34" s="316">
        <f t="shared" si="10"/>
        <v>-176084</v>
      </c>
      <c r="R34" s="316">
        <v>-323918.01</v>
      </c>
      <c r="S34" s="264">
        <f t="shared" ref="S34:T34" si="11">SUM(S35:S36)</f>
        <v>-248772.86099999998</v>
      </c>
      <c r="T34" s="264">
        <f t="shared" si="11"/>
        <v>-19640.630999999994</v>
      </c>
      <c r="U34" s="264">
        <v>-172825.39668999999</v>
      </c>
      <c r="V34" s="264">
        <f>+[31]EEFF_TE_Bra!V34</f>
        <v>-201533.62086</v>
      </c>
    </row>
    <row r="35" spans="2:22">
      <c r="B35" s="44" t="s">
        <v>164</v>
      </c>
      <c r="C35" s="58">
        <v>-79301</v>
      </c>
      <c r="D35" s="58">
        <v>-354491</v>
      </c>
      <c r="E35" s="58">
        <v>-176614</v>
      </c>
      <c r="F35" s="58">
        <v>-167890</v>
      </c>
      <c r="G35" s="58">
        <v>-152616</v>
      </c>
      <c r="H35" s="58">
        <v>89697</v>
      </c>
      <c r="I35" s="58">
        <v>-114844</v>
      </c>
      <c r="J35" s="58">
        <v>-132273</v>
      </c>
      <c r="K35" s="58">
        <v>4830</v>
      </c>
      <c r="L35" s="318">
        <v>-34509</v>
      </c>
      <c r="M35" s="316">
        <v>-77594</v>
      </c>
      <c r="N35" s="58">
        <v>-69687</v>
      </c>
      <c r="O35" s="58">
        <v>-234607</v>
      </c>
      <c r="P35" s="316">
        <v>-34067</v>
      </c>
      <c r="Q35" s="316">
        <v>-210719</v>
      </c>
      <c r="R35" s="316">
        <v>-141652.12700000001</v>
      </c>
      <c r="S35" s="264">
        <v>-95938.021999999997</v>
      </c>
      <c r="T35" s="264">
        <v>139392.13800000001</v>
      </c>
      <c r="U35" s="264">
        <v>-39982.188589999998</v>
      </c>
      <c r="V35" s="264">
        <f>+[31]EEFF_TE_Bra!V35</f>
        <v>-24828.811410000002</v>
      </c>
    </row>
    <row r="36" spans="2:22">
      <c r="B36" s="44" t="s">
        <v>165</v>
      </c>
      <c r="C36" s="58">
        <v>-2254611</v>
      </c>
      <c r="D36" s="58">
        <v>-241154</v>
      </c>
      <c r="E36" s="58">
        <v>70918</v>
      </c>
      <c r="F36" s="58">
        <v>64131</v>
      </c>
      <c r="G36" s="58">
        <v>-81654</v>
      </c>
      <c r="H36" s="58">
        <v>-85983</v>
      </c>
      <c r="I36" s="58">
        <v>-37029</v>
      </c>
      <c r="J36" s="58">
        <v>-56407</v>
      </c>
      <c r="K36" s="58">
        <v>9237</v>
      </c>
      <c r="L36" s="318">
        <v>-15467</v>
      </c>
      <c r="M36" s="316">
        <v>-72461</v>
      </c>
      <c r="N36" s="58">
        <v>-269794</v>
      </c>
      <c r="O36" s="58">
        <v>60971</v>
      </c>
      <c r="P36" s="316">
        <v>-141149</v>
      </c>
      <c r="Q36" s="316">
        <v>34635</v>
      </c>
      <c r="R36" s="316">
        <v>-182265.883</v>
      </c>
      <c r="S36" s="264">
        <v>-152834.83899999998</v>
      </c>
      <c r="T36" s="264">
        <v>-159032.769</v>
      </c>
      <c r="U36" s="264">
        <v>-132843.20809999999</v>
      </c>
      <c r="V36" s="264">
        <f>+[31]EEFF_TE_Bra!V36</f>
        <v>-176704.80945</v>
      </c>
    </row>
    <row r="37" spans="2:22">
      <c r="B37" s="253" t="s">
        <v>922</v>
      </c>
      <c r="C37" s="572">
        <v>7404.8</v>
      </c>
      <c r="D37" s="572">
        <v>2059.5</v>
      </c>
      <c r="E37" s="572" t="s">
        <v>923</v>
      </c>
      <c r="F37" s="572" t="s">
        <v>924</v>
      </c>
      <c r="G37" s="572">
        <v>1013079</v>
      </c>
      <c r="H37" s="572">
        <v>748271</v>
      </c>
      <c r="I37" s="572">
        <v>570014</v>
      </c>
      <c r="J37" s="572">
        <v>706313</v>
      </c>
      <c r="K37" s="572">
        <v>465799</v>
      </c>
      <c r="L37" s="572">
        <v>621536</v>
      </c>
      <c r="M37" s="572">
        <v>609446</v>
      </c>
      <c r="N37" s="572">
        <v>609446</v>
      </c>
      <c r="O37" s="572">
        <v>609446</v>
      </c>
      <c r="P37" s="572">
        <v>609446</v>
      </c>
      <c r="Q37" s="572">
        <v>882100</v>
      </c>
      <c r="R37" s="572">
        <v>1320600</v>
      </c>
      <c r="S37" s="601">
        <v>1143424</v>
      </c>
      <c r="T37" s="601">
        <v>1113959</v>
      </c>
      <c r="U37" s="601">
        <v>963216</v>
      </c>
      <c r="V37" s="601">
        <f>+[31]EEFF_TE_Bra!V37</f>
        <v>1224575.2283899998</v>
      </c>
    </row>
    <row r="38" spans="2:22">
      <c r="B38" s="253" t="s">
        <v>166</v>
      </c>
      <c r="C38" s="67">
        <f t="shared" ref="C38:T38" si="12">SUM(C33:C34)</f>
        <v>5132740</v>
      </c>
      <c r="D38" s="67">
        <f t="shared" si="12"/>
        <v>1385460.3905322035</v>
      </c>
      <c r="E38" s="67">
        <f t="shared" si="12"/>
        <v>240408</v>
      </c>
      <c r="F38" s="67">
        <f t="shared" si="12"/>
        <v>248066</v>
      </c>
      <c r="G38" s="67">
        <f t="shared" si="12"/>
        <v>726586</v>
      </c>
      <c r="H38" s="67">
        <f t="shared" si="12"/>
        <v>716969</v>
      </c>
      <c r="I38" s="67">
        <f t="shared" si="12"/>
        <v>357391</v>
      </c>
      <c r="J38" s="67">
        <f t="shared" si="12"/>
        <v>462681</v>
      </c>
      <c r="K38" s="67">
        <f t="shared" si="12"/>
        <v>439419</v>
      </c>
      <c r="L38" s="545">
        <f t="shared" si="12"/>
        <v>519960</v>
      </c>
      <c r="M38" s="67">
        <f>SUM(M33:M34)</f>
        <v>522080</v>
      </c>
      <c r="N38" s="67">
        <f t="shared" si="12"/>
        <v>880506</v>
      </c>
      <c r="O38" s="67">
        <f t="shared" si="12"/>
        <v>495773</v>
      </c>
      <c r="P38" s="560">
        <f t="shared" si="12"/>
        <v>3076042</v>
      </c>
      <c r="Q38" s="560">
        <f t="shared" si="12"/>
        <v>584479</v>
      </c>
      <c r="R38" s="560">
        <f t="shared" si="12"/>
        <v>853410.67665999965</v>
      </c>
      <c r="S38" s="560">
        <f t="shared" si="12"/>
        <v>728426.52490000008</v>
      </c>
      <c r="T38" s="560">
        <f t="shared" si="12"/>
        <v>871492.53084999998</v>
      </c>
      <c r="U38" s="560">
        <v>553169.73236000014</v>
      </c>
      <c r="V38" s="560">
        <f>+[31]EEFF_TE_Bra!V38</f>
        <v>713176.26358999975</v>
      </c>
    </row>
    <row r="39" spans="2:22">
      <c r="B39" s="44" t="s">
        <v>167</v>
      </c>
      <c r="C39" s="58">
        <v>-17022</v>
      </c>
      <c r="D39" s="58">
        <v>-19947.994313528317</v>
      </c>
      <c r="E39" s="58">
        <v>-3460</v>
      </c>
      <c r="F39" s="58">
        <v>-3285</v>
      </c>
      <c r="G39" s="58">
        <v>-3419</v>
      </c>
      <c r="H39" s="58">
        <v>-3413</v>
      </c>
      <c r="I39" s="58">
        <v>-3879</v>
      </c>
      <c r="J39" s="58">
        <v>-4367</v>
      </c>
      <c r="K39" s="58">
        <v>-4342</v>
      </c>
      <c r="L39" s="318">
        <v>-4232</v>
      </c>
      <c r="M39" s="316">
        <v>-15497</v>
      </c>
      <c r="N39" s="58">
        <v>-1667</v>
      </c>
      <c r="O39" s="58">
        <v>-2143</v>
      </c>
      <c r="P39" s="316">
        <v>-1840</v>
      </c>
      <c r="Q39" s="316">
        <v>-1855</v>
      </c>
      <c r="R39" s="316">
        <v>-3411</v>
      </c>
      <c r="S39" s="264">
        <v>-5329</v>
      </c>
      <c r="T39" s="264">
        <v>-8614.2032599999984</v>
      </c>
      <c r="U39" s="264">
        <v>-10096</v>
      </c>
      <c r="V39" s="264">
        <f>+[31]EEFF_TE_Bra!V39</f>
        <v>-13471</v>
      </c>
    </row>
    <row r="40" spans="2:22">
      <c r="B40" s="253" t="s">
        <v>168</v>
      </c>
      <c r="C40" s="67">
        <f>SUM(C38:C39)</f>
        <v>5115718</v>
      </c>
      <c r="D40" s="67">
        <f t="shared" ref="D40:T40" si="13">SUM(D38:D39)</f>
        <v>1365512.3962186752</v>
      </c>
      <c r="E40" s="67">
        <f t="shared" si="13"/>
        <v>236948</v>
      </c>
      <c r="F40" s="67">
        <f t="shared" si="13"/>
        <v>244781</v>
      </c>
      <c r="G40" s="67">
        <f t="shared" si="13"/>
        <v>723167</v>
      </c>
      <c r="H40" s="67">
        <f t="shared" si="13"/>
        <v>713556</v>
      </c>
      <c r="I40" s="67">
        <f t="shared" si="13"/>
        <v>353512</v>
      </c>
      <c r="J40" s="67">
        <f t="shared" si="13"/>
        <v>458314</v>
      </c>
      <c r="K40" s="67">
        <f t="shared" si="13"/>
        <v>435077</v>
      </c>
      <c r="L40" s="545">
        <f t="shared" si="13"/>
        <v>515728</v>
      </c>
      <c r="M40" s="67">
        <f>SUM(M38:M39)</f>
        <v>506583</v>
      </c>
      <c r="N40" s="67">
        <f t="shared" si="13"/>
        <v>878839</v>
      </c>
      <c r="O40" s="67">
        <f t="shared" si="13"/>
        <v>493630</v>
      </c>
      <c r="P40" s="560">
        <f t="shared" si="13"/>
        <v>3074202</v>
      </c>
      <c r="Q40" s="560">
        <f t="shared" si="13"/>
        <v>582624</v>
      </c>
      <c r="R40" s="560">
        <f t="shared" si="13"/>
        <v>849999.67665999965</v>
      </c>
      <c r="S40" s="560">
        <f t="shared" si="13"/>
        <v>723097.52490000008</v>
      </c>
      <c r="T40" s="560">
        <f t="shared" si="13"/>
        <v>862878.32759</v>
      </c>
      <c r="U40" s="560">
        <v>543073.73236000014</v>
      </c>
      <c r="V40" s="560">
        <f>+[31]EEFF_TE_Bra!V40</f>
        <v>699705.26358999975</v>
      </c>
    </row>
    <row r="41" spans="2:22">
      <c r="B41" s="252"/>
      <c r="C41" s="254"/>
      <c r="D41" s="254"/>
      <c r="E41" s="254"/>
      <c r="F41" s="254"/>
      <c r="G41" s="254"/>
      <c r="H41" s="254"/>
      <c r="I41" s="254"/>
      <c r="J41" s="254"/>
      <c r="K41" s="254"/>
      <c r="L41" s="546"/>
      <c r="M41" s="254"/>
      <c r="N41" s="254"/>
      <c r="O41" s="254"/>
      <c r="P41" s="317"/>
      <c r="Q41" s="317"/>
      <c r="R41" s="317"/>
    </row>
    <row r="42" spans="2:22">
      <c r="B42" s="252"/>
      <c r="C42" s="254"/>
      <c r="D42" s="254"/>
      <c r="E42" s="254"/>
      <c r="F42" s="254"/>
      <c r="G42" s="254"/>
      <c r="H42" s="254"/>
      <c r="I42" s="254"/>
      <c r="J42" s="254"/>
      <c r="K42" s="254"/>
      <c r="L42" s="546"/>
      <c r="M42" s="254"/>
      <c r="N42" s="254"/>
      <c r="O42" s="254"/>
      <c r="P42" s="317"/>
      <c r="Q42" s="317"/>
      <c r="R42" s="317"/>
    </row>
    <row r="43" spans="2:22">
      <c r="L43" s="547"/>
      <c r="P43" s="322"/>
      <c r="Q43" s="322"/>
      <c r="R43" s="322"/>
    </row>
    <row r="44" spans="2:22" ht="15">
      <c r="B44" s="12" t="s">
        <v>169</v>
      </c>
      <c r="L44" s="547"/>
      <c r="P44" s="322"/>
      <c r="Q44" s="322"/>
      <c r="R44" s="322"/>
    </row>
    <row r="45" spans="2:22" ht="15">
      <c r="B45" s="14" t="s">
        <v>129</v>
      </c>
      <c r="L45" s="547"/>
      <c r="P45" s="322"/>
      <c r="Q45" s="322"/>
      <c r="R45" s="322"/>
    </row>
    <row r="46" spans="2:22" s="42" customFormat="1">
      <c r="B46" s="46"/>
      <c r="C46" s="46"/>
      <c r="D46" s="46"/>
      <c r="E46" s="46"/>
      <c r="F46" s="46"/>
      <c r="G46" s="46"/>
      <c r="H46" s="46"/>
      <c r="I46" s="46"/>
      <c r="J46" s="46"/>
      <c r="K46" s="46"/>
      <c r="L46" s="547"/>
      <c r="M46" s="46"/>
      <c r="N46" s="46"/>
      <c r="O46" s="46"/>
      <c r="P46" s="322"/>
      <c r="Q46" s="322"/>
      <c r="R46" s="322"/>
    </row>
    <row r="47" spans="2:22">
      <c r="B47" s="765" t="s">
        <v>170</v>
      </c>
      <c r="C47" s="766" t="s">
        <v>130</v>
      </c>
      <c r="D47" s="766"/>
      <c r="E47" s="766"/>
      <c r="F47" s="766"/>
      <c r="G47" s="766"/>
      <c r="H47" s="766"/>
      <c r="I47" s="766"/>
      <c r="J47" s="766"/>
      <c r="K47" s="766"/>
      <c r="L47" s="766"/>
      <c r="M47" s="766"/>
      <c r="N47" s="766"/>
      <c r="O47" s="766"/>
      <c r="P47" s="766"/>
      <c r="Q47" s="548"/>
      <c r="R47" s="548"/>
      <c r="S47" s="602"/>
      <c r="T47" s="602"/>
      <c r="U47" s="544"/>
      <c r="V47" s="544"/>
    </row>
    <row r="48" spans="2:22">
      <c r="B48" s="765"/>
      <c r="C48" s="57">
        <v>2016</v>
      </c>
      <c r="D48" s="57">
        <v>2017</v>
      </c>
      <c r="E48" s="57" t="s">
        <v>131</v>
      </c>
      <c r="F48" s="57" t="s">
        <v>132</v>
      </c>
      <c r="G48" s="57" t="s">
        <v>133</v>
      </c>
      <c r="H48" s="57" t="s">
        <v>134</v>
      </c>
      <c r="I48" s="57" t="s">
        <v>135</v>
      </c>
      <c r="J48" s="57" t="s">
        <v>136</v>
      </c>
      <c r="K48" s="57" t="s">
        <v>137</v>
      </c>
      <c r="L48" s="416" t="s">
        <v>138</v>
      </c>
      <c r="M48" s="57" t="s">
        <v>139</v>
      </c>
      <c r="N48" s="57" t="s">
        <v>140</v>
      </c>
      <c r="O48" s="57" t="s">
        <v>141</v>
      </c>
      <c r="P48" s="549" t="s">
        <v>723</v>
      </c>
      <c r="Q48" s="549" t="s">
        <v>774</v>
      </c>
      <c r="R48" s="549" t="s">
        <v>914</v>
      </c>
      <c r="S48" s="549" t="s">
        <v>1058</v>
      </c>
      <c r="T48" s="549" t="s">
        <v>1083</v>
      </c>
      <c r="U48" s="549" t="s">
        <v>1131</v>
      </c>
      <c r="V48" s="549" t="s">
        <v>1238</v>
      </c>
    </row>
    <row r="49" spans="2:22">
      <c r="B49" s="255" t="s">
        <v>171</v>
      </c>
      <c r="C49" s="256"/>
      <c r="D49" s="256"/>
      <c r="E49" s="256"/>
      <c r="F49" s="255"/>
      <c r="G49" s="256"/>
      <c r="H49" s="256"/>
      <c r="I49" s="256"/>
      <c r="J49" s="256"/>
      <c r="K49" s="256"/>
      <c r="L49" s="550"/>
      <c r="M49" s="256"/>
      <c r="N49" s="256"/>
      <c r="O49" s="256"/>
      <c r="P49" s="321"/>
      <c r="Q49" s="321"/>
      <c r="R49" s="321"/>
      <c r="S49" s="321"/>
      <c r="T49" s="321"/>
    </row>
    <row r="50" spans="2:22">
      <c r="B50" s="44" t="s">
        <v>172</v>
      </c>
      <c r="C50" s="58">
        <v>4524</v>
      </c>
      <c r="D50" s="58">
        <v>6585</v>
      </c>
      <c r="E50" s="58">
        <v>11749</v>
      </c>
      <c r="F50" s="58">
        <v>7059</v>
      </c>
      <c r="G50" s="58">
        <v>12736</v>
      </c>
      <c r="H50" s="58">
        <v>16740</v>
      </c>
      <c r="I50" s="58">
        <v>17968</v>
      </c>
      <c r="J50" s="58">
        <v>14039</v>
      </c>
      <c r="K50" s="58">
        <v>7110</v>
      </c>
      <c r="L50" s="318">
        <v>595971</v>
      </c>
      <c r="M50" s="58">
        <v>757278</v>
      </c>
      <c r="N50" s="58">
        <v>1320153</v>
      </c>
      <c r="O50" s="58">
        <v>799542</v>
      </c>
      <c r="P50" s="316">
        <v>2067337</v>
      </c>
      <c r="Q50" s="316">
        <v>853688</v>
      </c>
      <c r="R50" s="316">
        <v>1090994</v>
      </c>
      <c r="S50" s="316">
        <v>231326</v>
      </c>
      <c r="T50" s="316">
        <v>282632</v>
      </c>
      <c r="U50" s="316">
        <v>316445</v>
      </c>
      <c r="V50" s="316">
        <f>+[31]EEFF_TE_Bra!V50</f>
        <v>221490</v>
      </c>
    </row>
    <row r="51" spans="2:22">
      <c r="B51" s="44" t="s">
        <v>173</v>
      </c>
      <c r="C51" s="58">
        <v>336138</v>
      </c>
      <c r="D51" s="58">
        <v>610066</v>
      </c>
      <c r="E51" s="58">
        <v>716226</v>
      </c>
      <c r="F51" s="58">
        <v>843828</v>
      </c>
      <c r="G51" s="58">
        <v>1591227</v>
      </c>
      <c r="H51" s="58">
        <v>680909</v>
      </c>
      <c r="I51" s="58">
        <v>1087284</v>
      </c>
      <c r="J51" s="58">
        <v>1330308</v>
      </c>
      <c r="K51" s="58">
        <v>1197427</v>
      </c>
      <c r="L51" s="318">
        <v>2068611</v>
      </c>
      <c r="M51" s="58">
        <v>511984</v>
      </c>
      <c r="N51" s="58">
        <v>565480</v>
      </c>
      <c r="O51" s="58">
        <v>541218</v>
      </c>
      <c r="P51" s="316">
        <v>453557</v>
      </c>
      <c r="Q51" s="316">
        <v>469733</v>
      </c>
      <c r="R51" s="316">
        <v>724512</v>
      </c>
      <c r="S51" s="316">
        <v>976131</v>
      </c>
      <c r="T51" s="316">
        <v>813634</v>
      </c>
      <c r="U51" s="316">
        <v>882793</v>
      </c>
      <c r="V51" s="316">
        <f>+[31]EEFF_TE_Bra!V51</f>
        <v>860842</v>
      </c>
    </row>
    <row r="52" spans="2:22">
      <c r="B52" s="44" t="s">
        <v>174</v>
      </c>
      <c r="C52" s="58">
        <v>1221016</v>
      </c>
      <c r="D52" s="58">
        <v>1924928</v>
      </c>
      <c r="E52" s="58">
        <v>1913172.7178499999</v>
      </c>
      <c r="F52" s="58">
        <v>1916407</v>
      </c>
      <c r="G52" s="58">
        <v>2041938</v>
      </c>
      <c r="H52" s="58">
        <v>2086298</v>
      </c>
      <c r="I52" s="58">
        <v>1956862</v>
      </c>
      <c r="J52" s="58">
        <v>1983261</v>
      </c>
      <c r="K52" s="58">
        <v>2038412</v>
      </c>
      <c r="L52" s="318">
        <v>2061882</v>
      </c>
      <c r="M52" s="58">
        <v>2082903</v>
      </c>
      <c r="N52" s="58">
        <v>2598707</v>
      </c>
      <c r="O52" s="58">
        <v>2728926</v>
      </c>
      <c r="P52" s="316">
        <v>2804373</v>
      </c>
      <c r="Q52" s="316">
        <v>3057083</v>
      </c>
      <c r="R52" s="316">
        <v>1992387</v>
      </c>
      <c r="S52" s="316">
        <v>2203432</v>
      </c>
      <c r="T52" s="316">
        <v>2344141</v>
      </c>
      <c r="U52" s="316">
        <v>2481722</v>
      </c>
      <c r="V52" s="316">
        <f>+[31]EEFF_TE_Bra!V52</f>
        <v>2714897</v>
      </c>
    </row>
    <row r="53" spans="2:22">
      <c r="B53" s="44" t="s">
        <v>175</v>
      </c>
      <c r="C53" s="58">
        <v>37723</v>
      </c>
      <c r="D53" s="58">
        <v>37639</v>
      </c>
      <c r="E53" s="58">
        <v>38357</v>
      </c>
      <c r="F53" s="58">
        <v>35204</v>
      </c>
      <c r="G53" s="58">
        <v>34907</v>
      </c>
      <c r="H53" s="58">
        <v>39173</v>
      </c>
      <c r="I53" s="58">
        <v>37516</v>
      </c>
      <c r="J53" s="58">
        <v>34742</v>
      </c>
      <c r="K53" s="58">
        <v>34550</v>
      </c>
      <c r="L53" s="318">
        <v>103818</v>
      </c>
      <c r="M53" s="58">
        <v>63747</v>
      </c>
      <c r="N53" s="58">
        <v>34337</v>
      </c>
      <c r="O53" s="58">
        <v>41637</v>
      </c>
      <c r="P53" s="316">
        <v>45297</v>
      </c>
      <c r="Q53" s="316">
        <v>49717</v>
      </c>
      <c r="R53" s="316">
        <v>56604</v>
      </c>
      <c r="S53" s="316">
        <v>56578</v>
      </c>
      <c r="T53" s="316">
        <v>49817</v>
      </c>
      <c r="U53" s="316">
        <v>62340</v>
      </c>
      <c r="V53" s="316">
        <f>+[31]EEFF_TE_Bra!V53</f>
        <v>67483</v>
      </c>
    </row>
    <row r="54" spans="2:22">
      <c r="B54" s="44" t="s">
        <v>176</v>
      </c>
      <c r="C54" s="58">
        <v>8563</v>
      </c>
      <c r="D54" s="58">
        <v>14162</v>
      </c>
      <c r="E54" s="58">
        <v>132735</v>
      </c>
      <c r="F54" s="58">
        <v>216638</v>
      </c>
      <c r="G54" s="58">
        <v>315452</v>
      </c>
      <c r="H54" s="58">
        <v>29521</v>
      </c>
      <c r="I54" s="58">
        <v>84201</v>
      </c>
      <c r="J54" s="58">
        <v>169403</v>
      </c>
      <c r="K54" s="58">
        <v>215694</v>
      </c>
      <c r="L54" s="318">
        <v>32335</v>
      </c>
      <c r="M54" s="58">
        <v>43483</v>
      </c>
      <c r="N54" s="58">
        <v>84600</v>
      </c>
      <c r="O54" s="58">
        <v>210886</v>
      </c>
      <c r="P54" s="316">
        <v>28807</v>
      </c>
      <c r="Q54" s="316">
        <v>72195</v>
      </c>
      <c r="R54" s="316">
        <v>107737</v>
      </c>
      <c r="S54" s="316">
        <v>149271</v>
      </c>
      <c r="T54" s="316">
        <v>72150</v>
      </c>
      <c r="U54" s="316">
        <v>96648</v>
      </c>
      <c r="V54" s="316">
        <f>+[31]EEFF_TE_Bra!V54</f>
        <v>126437</v>
      </c>
    </row>
    <row r="55" spans="2:22">
      <c r="B55" s="44" t="s">
        <v>177</v>
      </c>
      <c r="C55" s="58">
        <v>0</v>
      </c>
      <c r="D55" s="58">
        <v>2611</v>
      </c>
      <c r="E55" s="58">
        <v>0</v>
      </c>
      <c r="F55" s="58">
        <v>0</v>
      </c>
      <c r="G55" s="58">
        <v>0</v>
      </c>
      <c r="H55" s="58">
        <v>0</v>
      </c>
      <c r="I55" s="58">
        <v>0</v>
      </c>
      <c r="J55" s="58">
        <v>0</v>
      </c>
      <c r="K55" s="58">
        <v>67372</v>
      </c>
      <c r="L55" s="318">
        <v>19202</v>
      </c>
      <c r="M55" s="58">
        <v>228664</v>
      </c>
      <c r="N55" s="58">
        <v>255557</v>
      </c>
      <c r="O55" s="58">
        <v>14138</v>
      </c>
      <c r="P55" s="316">
        <v>9790</v>
      </c>
      <c r="Q55" s="316">
        <v>7507</v>
      </c>
      <c r="R55" s="316">
        <v>2259</v>
      </c>
      <c r="S55" s="316">
        <v>0</v>
      </c>
      <c r="T55" s="316">
        <v>200</v>
      </c>
      <c r="U55" s="316">
        <v>0</v>
      </c>
      <c r="V55" s="316">
        <f>+[31]EEFF_TE_Bra!V55</f>
        <v>0</v>
      </c>
    </row>
    <row r="56" spans="2:22">
      <c r="B56" s="44" t="s">
        <v>925</v>
      </c>
      <c r="C56" s="58" t="s">
        <v>152</v>
      </c>
      <c r="D56" s="58">
        <v>902.90506000000005</v>
      </c>
      <c r="E56" s="58">
        <v>490.49568999999974</v>
      </c>
      <c r="F56" s="58">
        <v>825</v>
      </c>
      <c r="G56" s="58">
        <v>423</v>
      </c>
      <c r="H56" s="58">
        <v>323</v>
      </c>
      <c r="I56" s="58">
        <v>4276</v>
      </c>
      <c r="J56" s="58">
        <v>9056</v>
      </c>
      <c r="K56" s="58">
        <v>9265</v>
      </c>
      <c r="L56" s="318">
        <v>703</v>
      </c>
      <c r="M56" s="58">
        <v>917</v>
      </c>
      <c r="N56" s="58">
        <v>1013</v>
      </c>
      <c r="O56" s="58">
        <v>580</v>
      </c>
      <c r="P56" s="316">
        <v>14994</v>
      </c>
      <c r="Q56" s="316">
        <v>14771</v>
      </c>
      <c r="R56" s="316">
        <v>15206</v>
      </c>
      <c r="S56" s="316">
        <v>9651</v>
      </c>
      <c r="T56" s="316">
        <v>78386</v>
      </c>
      <c r="U56" s="316">
        <v>78486</v>
      </c>
      <c r="V56" s="316">
        <f>+[31]EEFF_TE_Bra!V56</f>
        <v>78752</v>
      </c>
    </row>
    <row r="57" spans="2:22">
      <c r="B57" s="44" t="s">
        <v>178</v>
      </c>
      <c r="C57" s="58">
        <v>10303</v>
      </c>
      <c r="D57" s="58">
        <v>4607</v>
      </c>
      <c r="E57" s="58">
        <v>40927</v>
      </c>
      <c r="F57" s="58">
        <v>22245</v>
      </c>
      <c r="G57" s="58">
        <v>13145</v>
      </c>
      <c r="H57" s="58">
        <v>8384</v>
      </c>
      <c r="I57" s="58">
        <v>34841</v>
      </c>
      <c r="J57" s="58">
        <v>24862</v>
      </c>
      <c r="K57" s="58">
        <v>14657</v>
      </c>
      <c r="L57" s="318">
        <v>4677</v>
      </c>
      <c r="M57" s="58">
        <v>33212</v>
      </c>
      <c r="N57" s="58">
        <v>24292</v>
      </c>
      <c r="O57" s="58">
        <v>15324</v>
      </c>
      <c r="P57" s="316">
        <v>6400</v>
      </c>
      <c r="Q57" s="316">
        <v>36595</v>
      </c>
      <c r="R57" s="316">
        <v>28473</v>
      </c>
      <c r="S57" s="316">
        <v>18009</v>
      </c>
      <c r="T57" s="316">
        <v>11619</v>
      </c>
      <c r="U57" s="316">
        <v>43747</v>
      </c>
      <c r="V57" s="316">
        <f>+[31]EEFF_TE_Bra!V57</f>
        <v>38208</v>
      </c>
    </row>
    <row r="58" spans="2:22">
      <c r="B58" s="44" t="s">
        <v>179</v>
      </c>
      <c r="C58" s="58" t="s">
        <v>152</v>
      </c>
      <c r="D58" s="58">
        <v>1141</v>
      </c>
      <c r="E58" s="58">
        <v>0</v>
      </c>
      <c r="F58" s="58">
        <v>0</v>
      </c>
      <c r="G58" s="58">
        <v>1211</v>
      </c>
      <c r="H58" s="58">
        <v>1787</v>
      </c>
      <c r="I58" s="58">
        <v>1814</v>
      </c>
      <c r="J58" s="58">
        <v>1833</v>
      </c>
      <c r="K58" s="58">
        <v>1862</v>
      </c>
      <c r="L58" s="318">
        <v>1876</v>
      </c>
      <c r="M58" s="58">
        <v>1887</v>
      </c>
      <c r="N58" s="58">
        <v>1894</v>
      </c>
      <c r="O58" s="58">
        <v>1892</v>
      </c>
      <c r="P58" s="316">
        <v>1808</v>
      </c>
      <c r="Q58" s="316">
        <v>3873</v>
      </c>
      <c r="R58" s="316">
        <v>3866</v>
      </c>
      <c r="S58" s="316">
        <v>3931</v>
      </c>
      <c r="T58" s="316">
        <v>3952</v>
      </c>
      <c r="U58" s="316">
        <v>4017</v>
      </c>
      <c r="V58" s="316">
        <f>+[31]EEFF_TE_Bra!V58</f>
        <v>4977</v>
      </c>
    </row>
    <row r="59" spans="2:22">
      <c r="B59" s="44" t="s">
        <v>1132</v>
      </c>
      <c r="C59" s="58"/>
      <c r="D59" s="58"/>
      <c r="E59" s="58"/>
      <c r="F59" s="58"/>
      <c r="G59" s="58"/>
      <c r="H59" s="58"/>
      <c r="I59" s="58"/>
      <c r="J59" s="58"/>
      <c r="K59" s="58"/>
      <c r="L59" s="318"/>
      <c r="M59" s="58"/>
      <c r="N59" s="58"/>
      <c r="O59" s="58"/>
      <c r="P59" s="316"/>
      <c r="Q59" s="316"/>
      <c r="R59" s="316"/>
      <c r="S59" s="316"/>
      <c r="T59" s="316"/>
      <c r="U59" s="316">
        <v>34</v>
      </c>
      <c r="V59" s="316">
        <f>+[31]EEFF_TE_Bra!V59</f>
        <v>28</v>
      </c>
    </row>
    <row r="60" spans="2:22">
      <c r="B60" s="44" t="s">
        <v>180</v>
      </c>
      <c r="C60" s="58">
        <v>62077</v>
      </c>
      <c r="D60" s="58">
        <v>41067</v>
      </c>
      <c r="E60" s="58">
        <v>59156</v>
      </c>
      <c r="F60" s="58">
        <v>78695</v>
      </c>
      <c r="G60" s="58">
        <v>46824</v>
      </c>
      <c r="H60" s="58">
        <v>36509</v>
      </c>
      <c r="I60" s="58">
        <v>31529</v>
      </c>
      <c r="J60" s="58">
        <v>30564</v>
      </c>
      <c r="K60" s="58">
        <v>28009</v>
      </c>
      <c r="L60" s="318">
        <v>44373</v>
      </c>
      <c r="M60" s="58">
        <v>46416</v>
      </c>
      <c r="N60" s="58">
        <v>80603</v>
      </c>
      <c r="O60" s="58">
        <v>79333</v>
      </c>
      <c r="P60" s="316">
        <v>75495</v>
      </c>
      <c r="Q60" s="316">
        <v>66824</v>
      </c>
      <c r="R60" s="316">
        <v>81102</v>
      </c>
      <c r="S60" s="316">
        <v>90260</v>
      </c>
      <c r="T60" s="316">
        <v>91318</v>
      </c>
      <c r="U60" s="316">
        <v>88454</v>
      </c>
      <c r="V60" s="316">
        <f>+[31]EEFF_TE_Bra!V60</f>
        <v>106975</v>
      </c>
    </row>
    <row r="61" spans="2:22" ht="14.15" customHeight="1">
      <c r="B61" s="257" t="s">
        <v>181</v>
      </c>
      <c r="C61" s="258">
        <f t="shared" ref="C61:T61" si="14">SUM(C50:C60)</f>
        <v>1680344</v>
      </c>
      <c r="D61" s="258">
        <f t="shared" si="14"/>
        <v>2643708.9050599998</v>
      </c>
      <c r="E61" s="258">
        <f t="shared" si="14"/>
        <v>2912813.2135399994</v>
      </c>
      <c r="F61" s="258">
        <f t="shared" si="14"/>
        <v>3120901</v>
      </c>
      <c r="G61" s="258">
        <f t="shared" si="14"/>
        <v>4057863</v>
      </c>
      <c r="H61" s="258">
        <f t="shared" si="14"/>
        <v>2899644</v>
      </c>
      <c r="I61" s="258">
        <f t="shared" si="14"/>
        <v>3256291</v>
      </c>
      <c r="J61" s="258">
        <f t="shared" si="14"/>
        <v>3598068</v>
      </c>
      <c r="K61" s="258">
        <f t="shared" si="14"/>
        <v>3614358</v>
      </c>
      <c r="L61" s="258">
        <f t="shared" si="14"/>
        <v>4933448</v>
      </c>
      <c r="M61" s="258">
        <f t="shared" si="14"/>
        <v>3770491</v>
      </c>
      <c r="N61" s="258">
        <f t="shared" si="14"/>
        <v>4966636</v>
      </c>
      <c r="O61" s="258">
        <f t="shared" si="14"/>
        <v>4433476</v>
      </c>
      <c r="P61" s="319">
        <f t="shared" si="14"/>
        <v>5507858</v>
      </c>
      <c r="Q61" s="319">
        <f t="shared" si="14"/>
        <v>4631986</v>
      </c>
      <c r="R61" s="319">
        <f t="shared" si="14"/>
        <v>4103140</v>
      </c>
      <c r="S61" s="319">
        <f t="shared" si="14"/>
        <v>3738589</v>
      </c>
      <c r="T61" s="319">
        <f t="shared" si="14"/>
        <v>3747849</v>
      </c>
      <c r="U61" s="319">
        <v>4054686</v>
      </c>
      <c r="V61" s="319">
        <f>+[31]EEFF_TE_Bra!V61</f>
        <v>4220089</v>
      </c>
    </row>
    <row r="62" spans="2:22" ht="14.15" customHeight="1">
      <c r="B62" s="259" t="s">
        <v>182</v>
      </c>
      <c r="C62" s="59"/>
      <c r="D62" s="59"/>
      <c r="E62" s="59"/>
      <c r="F62" s="59"/>
      <c r="G62" s="59"/>
      <c r="H62" s="59"/>
      <c r="I62" s="59"/>
      <c r="J62" s="59"/>
      <c r="K62" s="59"/>
      <c r="L62" s="551"/>
      <c r="M62" s="59"/>
      <c r="N62" s="59"/>
      <c r="O62" s="59"/>
      <c r="P62" s="320"/>
      <c r="Q62" s="320"/>
      <c r="R62" s="320"/>
      <c r="S62" s="320"/>
      <c r="T62" s="320"/>
      <c r="U62" s="320"/>
      <c r="V62" s="320">
        <f>+[31]EEFF_TE_Bra!V62</f>
        <v>0</v>
      </c>
    </row>
    <row r="63" spans="2:22">
      <c r="B63" s="44" t="s">
        <v>183</v>
      </c>
      <c r="C63" s="58"/>
      <c r="D63" s="58"/>
      <c r="E63" s="58"/>
      <c r="F63" s="58"/>
      <c r="G63" s="58"/>
      <c r="H63" s="58"/>
      <c r="I63" s="58"/>
      <c r="J63" s="58"/>
      <c r="K63" s="58"/>
      <c r="L63" s="318"/>
      <c r="M63" s="58"/>
      <c r="N63" s="58"/>
      <c r="O63" s="58"/>
      <c r="P63" s="316"/>
      <c r="Q63" s="316"/>
      <c r="R63" s="316"/>
      <c r="S63" s="316"/>
      <c r="V63" s="42">
        <f>+[31]EEFF_TE_Bra!V63</f>
        <v>0</v>
      </c>
    </row>
    <row r="64" spans="2:22">
      <c r="B64" s="44" t="s">
        <v>179</v>
      </c>
      <c r="C64" s="58" t="s">
        <v>152</v>
      </c>
      <c r="D64" s="58">
        <v>35674.210180000002</v>
      </c>
      <c r="E64" s="58">
        <v>41726</v>
      </c>
      <c r="F64" s="58">
        <v>42460</v>
      </c>
      <c r="G64" s="58">
        <v>43818</v>
      </c>
      <c r="H64" s="58">
        <v>42268</v>
      </c>
      <c r="I64" s="58">
        <v>44888</v>
      </c>
      <c r="J64" s="58">
        <v>47771</v>
      </c>
      <c r="K64" s="58">
        <v>47245</v>
      </c>
      <c r="L64" s="318">
        <v>46515</v>
      </c>
      <c r="M64" s="58">
        <v>46649</v>
      </c>
      <c r="N64" s="58">
        <v>46926</v>
      </c>
      <c r="O64" s="58">
        <v>46981</v>
      </c>
      <c r="P64" s="316">
        <v>46903</v>
      </c>
      <c r="Q64" s="316">
        <v>40249</v>
      </c>
      <c r="R64" s="316">
        <v>37057</v>
      </c>
      <c r="S64" s="316">
        <v>38409</v>
      </c>
      <c r="T64" s="316">
        <v>38968</v>
      </c>
      <c r="U64" s="316">
        <v>39521</v>
      </c>
      <c r="V64" s="316">
        <f>+[31]EEFF_TE_Bra!V64</f>
        <v>38263</v>
      </c>
    </row>
    <row r="65" spans="2:22">
      <c r="B65" s="44" t="s">
        <v>184</v>
      </c>
      <c r="C65" s="58">
        <v>10225808</v>
      </c>
      <c r="D65" s="58">
        <v>11213952</v>
      </c>
      <c r="E65" s="58">
        <v>11033751.786459999</v>
      </c>
      <c r="F65" s="58">
        <v>10865644</v>
      </c>
      <c r="G65" s="58">
        <v>11270412</v>
      </c>
      <c r="H65" s="58">
        <v>12047558</v>
      </c>
      <c r="I65" s="58">
        <v>12222686</v>
      </c>
      <c r="J65" s="58">
        <v>12500583</v>
      </c>
      <c r="K65" s="58">
        <v>12474048</v>
      </c>
      <c r="L65" s="318">
        <v>12599152</v>
      </c>
      <c r="M65" s="58">
        <v>12668940</v>
      </c>
      <c r="N65" s="58">
        <v>13075952</v>
      </c>
      <c r="O65" s="58">
        <v>13254427</v>
      </c>
      <c r="P65" s="316">
        <v>14167152</v>
      </c>
      <c r="Q65" s="316">
        <v>16221607</v>
      </c>
      <c r="R65" s="316">
        <v>17954227</v>
      </c>
      <c r="S65" s="316">
        <v>18477041</v>
      </c>
      <c r="T65" s="316">
        <v>19149637</v>
      </c>
      <c r="U65" s="316">
        <v>19704117</v>
      </c>
      <c r="V65" s="316">
        <f>+[31]EEFF_TE_Bra!V65</f>
        <v>20486333</v>
      </c>
    </row>
    <row r="66" spans="2:22">
      <c r="B66" s="44" t="s">
        <v>185</v>
      </c>
      <c r="C66" s="58">
        <v>1150358</v>
      </c>
      <c r="D66" s="58">
        <v>1312791</v>
      </c>
      <c r="E66" s="58">
        <v>1363119</v>
      </c>
      <c r="F66" s="58">
        <v>1409142</v>
      </c>
      <c r="G66" s="58">
        <v>1425474</v>
      </c>
      <c r="H66" s="58">
        <v>1426083</v>
      </c>
      <c r="I66" s="58">
        <v>1426613</v>
      </c>
      <c r="J66" s="58">
        <v>1473391</v>
      </c>
      <c r="K66" s="58">
        <v>1518151</v>
      </c>
      <c r="L66" s="318">
        <v>1576332</v>
      </c>
      <c r="M66" s="58">
        <v>1620971</v>
      </c>
      <c r="N66" s="58">
        <v>1668555</v>
      </c>
      <c r="O66" s="58">
        <v>1724394</v>
      </c>
      <c r="P66" s="316">
        <v>1778999</v>
      </c>
      <c r="Q66" s="316">
        <v>1821503</v>
      </c>
      <c r="R66" s="316">
        <v>1868048</v>
      </c>
      <c r="S66" s="316">
        <v>1911094</v>
      </c>
      <c r="T66" s="316">
        <v>1967747</v>
      </c>
      <c r="U66" s="316">
        <v>2013021</v>
      </c>
      <c r="V66" s="316">
        <f>+[31]EEFF_TE_Bra!V66</f>
        <v>2065840</v>
      </c>
    </row>
    <row r="67" spans="2:22">
      <c r="B67" s="44" t="s">
        <v>186</v>
      </c>
      <c r="C67" s="58">
        <v>0</v>
      </c>
      <c r="D67" s="58">
        <v>0</v>
      </c>
      <c r="E67" s="58">
        <v>0</v>
      </c>
      <c r="F67" s="58">
        <v>0</v>
      </c>
      <c r="G67" s="58">
        <v>0</v>
      </c>
      <c r="H67" s="58">
        <v>9037</v>
      </c>
      <c r="I67" s="58">
        <v>7665</v>
      </c>
      <c r="J67" s="58">
        <v>11872</v>
      </c>
      <c r="K67" s="58">
        <v>7861</v>
      </c>
      <c r="L67" s="318">
        <v>1144</v>
      </c>
      <c r="M67" s="58">
        <v>0</v>
      </c>
      <c r="N67" s="58">
        <v>0</v>
      </c>
      <c r="O67" s="58">
        <v>0</v>
      </c>
      <c r="P67" s="316">
        <v>0</v>
      </c>
      <c r="Q67" s="316">
        <v>0</v>
      </c>
      <c r="R67" s="316">
        <v>0</v>
      </c>
      <c r="S67" s="316" t="s">
        <v>152</v>
      </c>
      <c r="T67" s="316">
        <v>0</v>
      </c>
      <c r="U67" s="316">
        <v>0</v>
      </c>
      <c r="V67" s="316">
        <f>+[31]EEFF_TE_Bra!V67</f>
        <v>0</v>
      </c>
    </row>
    <row r="68" spans="2:22">
      <c r="B68" s="44" t="s">
        <v>187</v>
      </c>
      <c r="C68" s="58">
        <v>70175</v>
      </c>
      <c r="D68" s="58">
        <v>66414</v>
      </c>
      <c r="E68" s="58">
        <v>66571</v>
      </c>
      <c r="F68" s="58">
        <v>65070</v>
      </c>
      <c r="G68" s="58">
        <v>66816</v>
      </c>
      <c r="H68" s="58">
        <v>66987</v>
      </c>
      <c r="I68" s="58">
        <v>64874</v>
      </c>
      <c r="J68" s="58">
        <v>64007</v>
      </c>
      <c r="K68" s="58">
        <v>58867</v>
      </c>
      <c r="L68" s="318">
        <v>52886</v>
      </c>
      <c r="M68" s="58">
        <v>51597</v>
      </c>
      <c r="N68" s="58">
        <v>49133</v>
      </c>
      <c r="O68" s="58">
        <v>41575</v>
      </c>
      <c r="P68" s="316">
        <v>44119</v>
      </c>
      <c r="Q68" s="316">
        <v>47184</v>
      </c>
      <c r="R68" s="316">
        <v>45671</v>
      </c>
      <c r="S68" s="316">
        <v>45631</v>
      </c>
      <c r="T68" s="316">
        <v>46011</v>
      </c>
      <c r="U68" s="316">
        <v>46437</v>
      </c>
      <c r="V68" s="316">
        <f>+[31]EEFF_TE_Bra!V69</f>
        <v>43797</v>
      </c>
    </row>
    <row r="69" spans="2:22">
      <c r="B69" s="44" t="s">
        <v>175</v>
      </c>
      <c r="C69" s="58">
        <v>32512</v>
      </c>
      <c r="D69" s="58">
        <v>37034</v>
      </c>
      <c r="E69" s="58">
        <v>22968</v>
      </c>
      <c r="F69" s="58">
        <v>18250</v>
      </c>
      <c r="G69" s="58">
        <v>18055</v>
      </c>
      <c r="H69" s="58">
        <v>13551</v>
      </c>
      <c r="I69" s="58">
        <v>11798</v>
      </c>
      <c r="J69" s="58">
        <v>11909</v>
      </c>
      <c r="K69" s="58">
        <v>14771</v>
      </c>
      <c r="L69" s="318">
        <v>13005</v>
      </c>
      <c r="M69" s="58">
        <v>23089</v>
      </c>
      <c r="N69" s="58">
        <v>16835</v>
      </c>
      <c r="O69" s="58">
        <v>11210</v>
      </c>
      <c r="P69" s="316">
        <v>9997</v>
      </c>
      <c r="Q69" s="316">
        <v>12634</v>
      </c>
      <c r="R69" s="316">
        <v>11168</v>
      </c>
      <c r="S69" s="316">
        <v>12995</v>
      </c>
      <c r="T69" s="316">
        <v>12114</v>
      </c>
      <c r="U69" s="316">
        <v>18605</v>
      </c>
      <c r="V69" s="316">
        <f>+[31]EEFF_TE_Bra!V70</f>
        <v>16223</v>
      </c>
    </row>
    <row r="70" spans="2:22">
      <c r="B70" s="44" t="s">
        <v>926</v>
      </c>
      <c r="C70" s="58">
        <v>0</v>
      </c>
      <c r="D70" s="58">
        <v>0</v>
      </c>
      <c r="E70" s="58">
        <v>0</v>
      </c>
      <c r="F70" s="58">
        <v>0</v>
      </c>
      <c r="G70" s="58">
        <v>0</v>
      </c>
      <c r="H70" s="58">
        <v>105444</v>
      </c>
      <c r="I70" s="58">
        <v>105444</v>
      </c>
      <c r="J70" s="58">
        <v>105444</v>
      </c>
      <c r="K70" s="58">
        <v>105444</v>
      </c>
      <c r="L70" s="318">
        <v>43024</v>
      </c>
      <c r="M70" s="58">
        <v>43024</v>
      </c>
      <c r="N70" s="58">
        <v>43024</v>
      </c>
      <c r="O70" s="58">
        <v>43024</v>
      </c>
      <c r="P70" s="316">
        <v>0</v>
      </c>
      <c r="Q70" s="316">
        <v>0</v>
      </c>
      <c r="R70" s="316">
        <v>0</v>
      </c>
      <c r="S70" s="316">
        <v>0</v>
      </c>
      <c r="T70" s="316">
        <v>0</v>
      </c>
      <c r="U70" s="316">
        <v>0</v>
      </c>
      <c r="V70" s="316">
        <f>+[31]EEFF_TE_Bra!V71</f>
        <v>0</v>
      </c>
    </row>
    <row r="71" spans="2:22">
      <c r="B71" s="44" t="s">
        <v>177</v>
      </c>
      <c r="C71" s="58">
        <v>0</v>
      </c>
      <c r="D71" s="58">
        <v>0</v>
      </c>
      <c r="E71" s="58">
        <v>0</v>
      </c>
      <c r="F71" s="58">
        <v>0</v>
      </c>
      <c r="G71" s="58">
        <v>11861</v>
      </c>
      <c r="H71" s="58">
        <v>2643</v>
      </c>
      <c r="I71" s="58">
        <v>10771</v>
      </c>
      <c r="J71" s="58">
        <v>0</v>
      </c>
      <c r="K71" s="58">
        <v>1962</v>
      </c>
      <c r="L71" s="318">
        <v>0</v>
      </c>
      <c r="M71" s="58">
        <v>3068</v>
      </c>
      <c r="N71" s="58">
        <v>3546</v>
      </c>
      <c r="O71" s="58">
        <v>4056</v>
      </c>
      <c r="P71" s="316">
        <v>226</v>
      </c>
      <c r="Q71" s="316">
        <v>18417</v>
      </c>
      <c r="R71" s="316">
        <v>403</v>
      </c>
      <c r="S71" s="316">
        <v>14360</v>
      </c>
      <c r="T71" s="316">
        <v>18250</v>
      </c>
      <c r="U71" s="316">
        <v>0</v>
      </c>
      <c r="V71" s="316">
        <f>+[31]EEFF_TE_Bra!V72</f>
        <v>2008</v>
      </c>
    </row>
    <row r="72" spans="2:22">
      <c r="B72" s="44" t="s">
        <v>144</v>
      </c>
      <c r="C72" s="58">
        <v>13572</v>
      </c>
      <c r="D72" s="58">
        <v>1513</v>
      </c>
      <c r="E72" s="58">
        <v>1502</v>
      </c>
      <c r="F72" s="58">
        <v>12493</v>
      </c>
      <c r="G72" s="58">
        <v>12490</v>
      </c>
      <c r="H72" s="58">
        <v>25236</v>
      </c>
      <c r="I72" s="58">
        <v>26954</v>
      </c>
      <c r="J72" s="58">
        <v>28724</v>
      </c>
      <c r="K72" s="58">
        <v>32895</v>
      </c>
      <c r="L72" s="318">
        <v>24011</v>
      </c>
      <c r="M72" s="58">
        <v>25926</v>
      </c>
      <c r="N72" s="58">
        <v>108900</v>
      </c>
      <c r="O72" s="58">
        <v>108905</v>
      </c>
      <c r="P72" s="316">
        <v>110310</v>
      </c>
      <c r="Q72" s="316">
        <v>114129</v>
      </c>
      <c r="R72" s="316">
        <v>118801</v>
      </c>
      <c r="S72" s="316">
        <v>109649</v>
      </c>
      <c r="T72" s="316">
        <v>106982</v>
      </c>
      <c r="U72" s="316">
        <v>90063</v>
      </c>
      <c r="V72" s="316">
        <f>+[31]EEFF_TE_Bra!V73</f>
        <v>61751</v>
      </c>
    </row>
    <row r="73" spans="2:22">
      <c r="B73" s="44" t="s">
        <v>188</v>
      </c>
      <c r="C73" s="58">
        <v>1826930</v>
      </c>
      <c r="D73" s="58">
        <v>1880845</v>
      </c>
      <c r="E73" s="58">
        <v>1915916</v>
      </c>
      <c r="F73" s="58">
        <v>1943473</v>
      </c>
      <c r="G73" s="58">
        <v>1944839</v>
      </c>
      <c r="H73" s="58">
        <v>1848092</v>
      </c>
      <c r="I73" s="58">
        <v>1917881</v>
      </c>
      <c r="J73" s="58">
        <v>1966285</v>
      </c>
      <c r="K73" s="58">
        <v>2037978</v>
      </c>
      <c r="L73" s="318">
        <v>2198004</v>
      </c>
      <c r="M73" s="58">
        <v>2360020</v>
      </c>
      <c r="N73" s="58">
        <v>2334045</v>
      </c>
      <c r="O73" s="58">
        <v>2384120</v>
      </c>
      <c r="P73" s="316">
        <v>2928478</v>
      </c>
      <c r="Q73" s="316">
        <v>3001178</v>
      </c>
      <c r="R73" s="316">
        <v>3124557</v>
      </c>
      <c r="S73" s="316">
        <v>3253229</v>
      </c>
      <c r="T73" s="316">
        <v>3299479</v>
      </c>
      <c r="U73" s="316">
        <v>3462388</v>
      </c>
      <c r="V73" s="316">
        <f>+[31]EEFF_TE_Bra!V74</f>
        <v>3686260</v>
      </c>
    </row>
    <row r="74" spans="2:22">
      <c r="B74" s="44" t="s">
        <v>189</v>
      </c>
      <c r="C74" s="58">
        <v>25457.256999999987</v>
      </c>
      <c r="D74" s="58">
        <v>22879.430109999994</v>
      </c>
      <c r="E74" s="58">
        <v>23656</v>
      </c>
      <c r="F74" s="58">
        <v>22868</v>
      </c>
      <c r="G74" s="58">
        <v>23870</v>
      </c>
      <c r="H74" s="58">
        <v>25539</v>
      </c>
      <c r="I74" s="58">
        <v>45400</v>
      </c>
      <c r="J74" s="58">
        <v>73791</v>
      </c>
      <c r="K74" s="58">
        <v>75697</v>
      </c>
      <c r="L74" s="318">
        <v>86377</v>
      </c>
      <c r="M74" s="58">
        <v>93465</v>
      </c>
      <c r="N74" s="58">
        <v>92414</v>
      </c>
      <c r="O74" s="58">
        <v>91002</v>
      </c>
      <c r="P74" s="316">
        <v>92991</v>
      </c>
      <c r="Q74" s="316">
        <v>90195</v>
      </c>
      <c r="R74" s="316">
        <v>98435</v>
      </c>
      <c r="S74" s="316">
        <v>96878</v>
      </c>
      <c r="T74" s="316">
        <v>93265</v>
      </c>
      <c r="U74" s="316">
        <v>88965</v>
      </c>
      <c r="V74" s="316">
        <f>+[31]EEFF_TE_Bra!V75</f>
        <v>89864</v>
      </c>
    </row>
    <row r="75" spans="2:22">
      <c r="B75" s="44" t="s">
        <v>190</v>
      </c>
      <c r="C75" s="58">
        <v>41843.266820000004</v>
      </c>
      <c r="D75" s="58">
        <v>37361.569890000006</v>
      </c>
      <c r="E75" s="58">
        <v>35535</v>
      </c>
      <c r="F75" s="58">
        <v>34404</v>
      </c>
      <c r="G75" s="58">
        <v>31630</v>
      </c>
      <c r="H75" s="58">
        <v>30142</v>
      </c>
      <c r="I75" s="58">
        <v>28136</v>
      </c>
      <c r="J75" s="58">
        <v>26692</v>
      </c>
      <c r="K75" s="58">
        <v>25069</v>
      </c>
      <c r="L75" s="318">
        <v>25196</v>
      </c>
      <c r="M75" s="58">
        <v>24227</v>
      </c>
      <c r="N75" s="58">
        <v>25603</v>
      </c>
      <c r="O75" s="58">
        <v>25377</v>
      </c>
      <c r="P75" s="316">
        <v>24499</v>
      </c>
      <c r="Q75" s="316">
        <v>506317</v>
      </c>
      <c r="R75" s="316">
        <v>508024</v>
      </c>
      <c r="S75" s="316">
        <v>496021</v>
      </c>
      <c r="T75" s="316">
        <v>496437</v>
      </c>
      <c r="U75" s="316">
        <v>490592</v>
      </c>
      <c r="V75" s="316">
        <f>+[31]EEFF_TE_Bra!V76</f>
        <v>482673</v>
      </c>
    </row>
    <row r="76" spans="2:22">
      <c r="B76" s="257" t="s">
        <v>927</v>
      </c>
      <c r="C76" s="258">
        <f t="shared" ref="C76:S76" si="15">SUM(C73:C75,C64:C72)</f>
        <v>13386655.52382</v>
      </c>
      <c r="D76" s="258">
        <f t="shared" si="15"/>
        <v>14608464.210179999</v>
      </c>
      <c r="E76" s="258">
        <f t="shared" si="15"/>
        <v>14504744.786459999</v>
      </c>
      <c r="F76" s="258">
        <f t="shared" si="15"/>
        <v>14413804</v>
      </c>
      <c r="G76" s="258">
        <f t="shared" si="15"/>
        <v>14849265</v>
      </c>
      <c r="H76" s="258">
        <f t="shared" si="15"/>
        <v>15642580</v>
      </c>
      <c r="I76" s="258">
        <f t="shared" si="15"/>
        <v>15913110</v>
      </c>
      <c r="J76" s="258">
        <f t="shared" si="15"/>
        <v>16310469</v>
      </c>
      <c r="K76" s="258">
        <f t="shared" si="15"/>
        <v>16399988</v>
      </c>
      <c r="L76" s="258">
        <f t="shared" si="15"/>
        <v>16665646</v>
      </c>
      <c r="M76" s="258">
        <f t="shared" si="15"/>
        <v>16960976</v>
      </c>
      <c r="N76" s="258">
        <f t="shared" si="15"/>
        <v>17464933</v>
      </c>
      <c r="O76" s="258">
        <f t="shared" si="15"/>
        <v>17735071</v>
      </c>
      <c r="P76" s="319">
        <f t="shared" si="15"/>
        <v>19203674</v>
      </c>
      <c r="Q76" s="319">
        <f t="shared" si="15"/>
        <v>21873413</v>
      </c>
      <c r="R76" s="319">
        <f t="shared" si="15"/>
        <v>23766391</v>
      </c>
      <c r="S76" s="319">
        <f t="shared" si="15"/>
        <v>24455307</v>
      </c>
      <c r="T76" s="319">
        <f t="shared" ref="T76" si="16">SUM(T73:T75,T63:T72)</f>
        <v>25228890</v>
      </c>
      <c r="U76" s="319">
        <v>25953709</v>
      </c>
      <c r="V76" s="319">
        <f>+[31]EEFF_TE_Bra!V77</f>
        <v>26973012</v>
      </c>
    </row>
    <row r="77" spans="2:22">
      <c r="B77" s="257" t="s">
        <v>191</v>
      </c>
      <c r="C77" s="258">
        <f t="shared" ref="C77:S77" si="17">SUM(C76+C61)</f>
        <v>15066999.52382</v>
      </c>
      <c r="D77" s="258">
        <f t="shared" si="17"/>
        <v>17252173.11524</v>
      </c>
      <c r="E77" s="258">
        <f t="shared" si="17"/>
        <v>17417558</v>
      </c>
      <c r="F77" s="258">
        <f t="shared" si="17"/>
        <v>17534705</v>
      </c>
      <c r="G77" s="258">
        <f t="shared" si="17"/>
        <v>18907128</v>
      </c>
      <c r="H77" s="258">
        <f t="shared" si="17"/>
        <v>18542224</v>
      </c>
      <c r="I77" s="258">
        <f t="shared" si="17"/>
        <v>19169401</v>
      </c>
      <c r="J77" s="258">
        <f t="shared" si="17"/>
        <v>19908537</v>
      </c>
      <c r="K77" s="258">
        <f t="shared" si="17"/>
        <v>20014346</v>
      </c>
      <c r="L77" s="258">
        <f t="shared" si="17"/>
        <v>21599094</v>
      </c>
      <c r="M77" s="258">
        <f t="shared" si="17"/>
        <v>20731467</v>
      </c>
      <c r="N77" s="258">
        <f t="shared" si="17"/>
        <v>22431569</v>
      </c>
      <c r="O77" s="258">
        <f t="shared" si="17"/>
        <v>22168547</v>
      </c>
      <c r="P77" s="319">
        <f t="shared" si="17"/>
        <v>24711532</v>
      </c>
      <c r="Q77" s="319">
        <f t="shared" si="17"/>
        <v>26505399</v>
      </c>
      <c r="R77" s="319">
        <f t="shared" si="17"/>
        <v>27869531</v>
      </c>
      <c r="S77" s="319">
        <f t="shared" si="17"/>
        <v>28193896</v>
      </c>
      <c r="T77" s="319">
        <f>SUM(T76+T61)</f>
        <v>28976739</v>
      </c>
      <c r="U77" s="319">
        <v>30008395</v>
      </c>
      <c r="V77" s="319">
        <f>+[31]EEFF_TE_Bra!V78</f>
        <v>31193101</v>
      </c>
    </row>
    <row r="78" spans="2:22" s="42" customFormat="1">
      <c r="B78" s="46"/>
      <c r="C78" s="260"/>
      <c r="D78" s="260"/>
      <c r="E78" s="260"/>
      <c r="F78" s="56"/>
      <c r="G78" s="56"/>
      <c r="H78" s="56"/>
      <c r="I78" s="56"/>
      <c r="J78" s="56"/>
      <c r="K78" s="56"/>
      <c r="L78" s="552"/>
      <c r="M78" s="56"/>
      <c r="N78" s="56"/>
      <c r="O78" s="56"/>
      <c r="P78" s="322"/>
      <c r="Q78" s="322"/>
      <c r="R78" s="322"/>
    </row>
    <row r="79" spans="2:22">
      <c r="B79" s="573" t="s">
        <v>192</v>
      </c>
      <c r="C79" s="561"/>
      <c r="D79" s="562"/>
      <c r="E79" s="562"/>
      <c r="F79" s="562"/>
      <c r="G79" s="562"/>
      <c r="H79" s="562"/>
      <c r="I79" s="562"/>
      <c r="J79" s="562"/>
      <c r="K79" s="562"/>
      <c r="L79" s="574"/>
      <c r="M79" s="562"/>
      <c r="N79" s="562"/>
      <c r="O79" s="562"/>
      <c r="P79" s="563"/>
      <c r="Q79" s="563"/>
      <c r="R79" s="563"/>
      <c r="S79" s="563"/>
      <c r="T79" s="563"/>
      <c r="U79" s="563"/>
      <c r="V79" s="563"/>
    </row>
    <row r="80" spans="2:22">
      <c r="B80" s="573" t="s">
        <v>193</v>
      </c>
      <c r="C80" s="561"/>
      <c r="D80" s="562"/>
      <c r="E80" s="562"/>
      <c r="F80" s="562"/>
      <c r="G80" s="562"/>
      <c r="H80" s="562"/>
      <c r="I80" s="562"/>
      <c r="J80" s="562"/>
      <c r="K80" s="562"/>
      <c r="L80" s="574"/>
      <c r="M80" s="562"/>
      <c r="N80" s="562"/>
      <c r="O80" s="562"/>
      <c r="P80" s="563"/>
      <c r="Q80" s="563"/>
      <c r="R80" s="563"/>
      <c r="S80" s="563"/>
      <c r="T80" s="563"/>
      <c r="U80" s="563"/>
      <c r="V80" s="563">
        <f>+[31]EEFF_TE_Bra!V80</f>
        <v>0</v>
      </c>
    </row>
    <row r="81" spans="2:22">
      <c r="B81" s="255" t="s">
        <v>171</v>
      </c>
      <c r="C81" s="256"/>
      <c r="D81" s="256"/>
      <c r="E81" s="256"/>
      <c r="F81" s="255"/>
      <c r="G81" s="255"/>
      <c r="H81" s="255"/>
      <c r="I81" s="255"/>
      <c r="J81" s="255"/>
      <c r="K81" s="255"/>
      <c r="L81" s="553"/>
      <c r="M81" s="255"/>
      <c r="N81" s="255"/>
      <c r="O81" s="255"/>
      <c r="P81" s="321"/>
      <c r="Q81" s="321"/>
      <c r="R81" s="321"/>
      <c r="S81" s="321"/>
      <c r="T81" s="321"/>
      <c r="V81" s="42">
        <f>+[31]EEFF_TE_Bra!V81</f>
        <v>0</v>
      </c>
    </row>
    <row r="82" spans="2:22">
      <c r="B82" s="44" t="s">
        <v>194</v>
      </c>
      <c r="C82" s="58">
        <v>71679</v>
      </c>
      <c r="D82" s="58">
        <v>268588</v>
      </c>
      <c r="E82" s="58">
        <v>261786</v>
      </c>
      <c r="F82" s="58">
        <v>287106</v>
      </c>
      <c r="G82" s="58">
        <v>98254</v>
      </c>
      <c r="H82" s="58">
        <v>334067</v>
      </c>
      <c r="I82" s="58">
        <v>344159</v>
      </c>
      <c r="J82" s="58">
        <v>337582</v>
      </c>
      <c r="K82" s="58">
        <v>981588</v>
      </c>
      <c r="L82" s="318">
        <v>709928</v>
      </c>
      <c r="M82" s="58">
        <v>886355</v>
      </c>
      <c r="N82" s="58">
        <v>919444</v>
      </c>
      <c r="O82" s="58">
        <v>96334</v>
      </c>
      <c r="P82" s="316">
        <v>94628</v>
      </c>
      <c r="Q82" s="316">
        <v>461788</v>
      </c>
      <c r="R82" s="316">
        <v>1113809</v>
      </c>
      <c r="S82" s="264">
        <v>737590</v>
      </c>
      <c r="T82" s="264">
        <v>741848</v>
      </c>
      <c r="U82" s="264">
        <v>751685</v>
      </c>
      <c r="V82" s="264">
        <f>+[31]EEFF_TE_Bra!V84</f>
        <v>90627</v>
      </c>
    </row>
    <row r="83" spans="2:22">
      <c r="B83" s="44" t="s">
        <v>195</v>
      </c>
      <c r="C83" s="58">
        <v>192368</v>
      </c>
      <c r="D83" s="58">
        <v>182852</v>
      </c>
      <c r="E83" s="58">
        <v>183773</v>
      </c>
      <c r="F83" s="58">
        <v>183474</v>
      </c>
      <c r="G83" s="58">
        <v>197107</v>
      </c>
      <c r="H83" s="58">
        <v>23707</v>
      </c>
      <c r="I83" s="58">
        <v>22436</v>
      </c>
      <c r="J83" s="58">
        <v>15931</v>
      </c>
      <c r="K83" s="58">
        <v>26097</v>
      </c>
      <c r="L83" s="318">
        <v>367508</v>
      </c>
      <c r="M83" s="58">
        <v>371913</v>
      </c>
      <c r="N83" s="58">
        <v>363141</v>
      </c>
      <c r="O83" s="58">
        <v>542316</v>
      </c>
      <c r="P83" s="316">
        <v>217948</v>
      </c>
      <c r="Q83" s="316">
        <v>245489</v>
      </c>
      <c r="R83" s="316">
        <v>242011</v>
      </c>
      <c r="S83" s="264">
        <v>96144</v>
      </c>
      <c r="T83" s="264">
        <v>59341</v>
      </c>
      <c r="U83" s="264">
        <v>108342</v>
      </c>
      <c r="V83" s="264">
        <f>+[31]EEFF_TE_Bra!V85</f>
        <v>79687</v>
      </c>
    </row>
    <row r="84" spans="2:22">
      <c r="B84" s="44" t="s">
        <v>196</v>
      </c>
      <c r="C84" s="58">
        <v>0</v>
      </c>
      <c r="D84" s="58">
        <v>0</v>
      </c>
      <c r="E84" s="58">
        <v>0</v>
      </c>
      <c r="F84" s="58">
        <v>0</v>
      </c>
      <c r="G84" s="58">
        <v>0</v>
      </c>
      <c r="H84" s="58">
        <v>0</v>
      </c>
      <c r="I84" s="58">
        <v>0</v>
      </c>
      <c r="J84" s="58">
        <v>7693</v>
      </c>
      <c r="K84" s="58">
        <v>0</v>
      </c>
      <c r="L84" s="318">
        <v>9948</v>
      </c>
      <c r="M84" s="58">
        <v>0</v>
      </c>
      <c r="N84" s="58">
        <v>0</v>
      </c>
      <c r="O84" s="58">
        <v>10601</v>
      </c>
      <c r="P84" s="316">
        <v>8795</v>
      </c>
      <c r="Q84" s="316">
        <v>7816</v>
      </c>
      <c r="R84" s="316">
        <v>11139</v>
      </c>
      <c r="S84" s="264">
        <v>12359</v>
      </c>
      <c r="T84" s="264">
        <v>11911</v>
      </c>
      <c r="U84" s="264">
        <v>11703</v>
      </c>
      <c r="V84" s="264">
        <f>+[31]EEFF_TE_Bra!V86</f>
        <v>12875</v>
      </c>
    </row>
    <row r="85" spans="2:22">
      <c r="B85" s="44" t="s">
        <v>177</v>
      </c>
      <c r="C85" s="58">
        <v>0</v>
      </c>
      <c r="D85" s="58">
        <v>0</v>
      </c>
      <c r="E85" s="58">
        <v>0</v>
      </c>
      <c r="F85" s="58">
        <v>0</v>
      </c>
      <c r="G85" s="58">
        <v>0</v>
      </c>
      <c r="H85" s="58">
        <v>0</v>
      </c>
      <c r="I85" s="58">
        <v>10565</v>
      </c>
      <c r="J85" s="58">
        <v>0</v>
      </c>
      <c r="K85" s="58">
        <v>9772</v>
      </c>
      <c r="L85" s="322" t="s">
        <v>152</v>
      </c>
      <c r="M85" s="58">
        <v>9456</v>
      </c>
      <c r="N85" s="58">
        <v>11179</v>
      </c>
      <c r="O85" s="58">
        <v>0</v>
      </c>
      <c r="P85" s="322" t="s">
        <v>152</v>
      </c>
      <c r="Q85" s="322" t="s">
        <v>152</v>
      </c>
      <c r="R85" s="322" t="s">
        <v>152</v>
      </c>
      <c r="S85" s="264" t="s">
        <v>152</v>
      </c>
      <c r="T85" s="264">
        <v>1931</v>
      </c>
      <c r="U85" s="264">
        <v>18142</v>
      </c>
      <c r="V85" s="264">
        <f>+[31]EEFF_TE_Bra!V87</f>
        <v>4263</v>
      </c>
    </row>
    <row r="86" spans="2:22">
      <c r="B86" s="44" t="s">
        <v>197</v>
      </c>
      <c r="C86" s="58">
        <v>41482</v>
      </c>
      <c r="D86" s="58">
        <v>69923</v>
      </c>
      <c r="E86" s="58">
        <v>49255</v>
      </c>
      <c r="F86" s="58">
        <v>58806</v>
      </c>
      <c r="G86" s="58">
        <v>68022</v>
      </c>
      <c r="H86" s="58">
        <v>88358</v>
      </c>
      <c r="I86" s="58">
        <v>72276</v>
      </c>
      <c r="J86" s="58">
        <v>70721</v>
      </c>
      <c r="K86" s="58">
        <v>72057</v>
      </c>
      <c r="L86" s="318">
        <v>167774</v>
      </c>
      <c r="M86" s="58">
        <v>167858</v>
      </c>
      <c r="N86" s="58">
        <v>139217</v>
      </c>
      <c r="O86" s="58">
        <v>112304</v>
      </c>
      <c r="P86" s="316">
        <v>153346</v>
      </c>
      <c r="Q86" s="316">
        <v>100371</v>
      </c>
      <c r="R86" s="316">
        <v>90525</v>
      </c>
      <c r="S86" s="264">
        <v>70097</v>
      </c>
      <c r="T86" s="264">
        <v>83666</v>
      </c>
      <c r="U86" s="264">
        <v>83243</v>
      </c>
      <c r="V86" s="264">
        <f>+[31]EEFF_TE_Bra!V88</f>
        <v>86641</v>
      </c>
    </row>
    <row r="87" spans="2:22">
      <c r="B87" s="44" t="s">
        <v>928</v>
      </c>
      <c r="C87" s="58">
        <v>30053</v>
      </c>
      <c r="D87" s="58">
        <v>90502</v>
      </c>
      <c r="E87" s="58">
        <v>224543</v>
      </c>
      <c r="F87" s="58">
        <v>389278</v>
      </c>
      <c r="G87" s="58">
        <v>540175</v>
      </c>
      <c r="H87" s="58">
        <v>54382</v>
      </c>
      <c r="I87" s="58">
        <v>163259</v>
      </c>
      <c r="J87" s="58">
        <v>293111</v>
      </c>
      <c r="K87" s="58">
        <v>287386</v>
      </c>
      <c r="L87" s="318">
        <v>92106</v>
      </c>
      <c r="M87" s="58">
        <v>127657</v>
      </c>
      <c r="N87" s="58">
        <v>262320</v>
      </c>
      <c r="O87" s="58">
        <v>478040</v>
      </c>
      <c r="P87" s="316">
        <v>255614</v>
      </c>
      <c r="Q87" s="316">
        <v>268737</v>
      </c>
      <c r="R87" s="316">
        <v>394093</v>
      </c>
      <c r="S87" s="264">
        <v>483446</v>
      </c>
      <c r="T87" s="264">
        <v>61025</v>
      </c>
      <c r="U87" s="264">
        <v>94811</v>
      </c>
      <c r="V87" s="264">
        <f>+[31]EEFF_TE_Bra!V89</f>
        <v>108631</v>
      </c>
    </row>
    <row r="88" spans="2:22">
      <c r="B88" s="44" t="s">
        <v>929</v>
      </c>
      <c r="C88" s="58">
        <v>17540</v>
      </c>
      <c r="D88" s="58">
        <v>57997</v>
      </c>
      <c r="E88" s="58">
        <v>0</v>
      </c>
      <c r="F88" s="58">
        <v>0</v>
      </c>
      <c r="G88" s="58">
        <v>0</v>
      </c>
      <c r="H88" s="58">
        <v>0</v>
      </c>
      <c r="I88" s="58">
        <v>0</v>
      </c>
      <c r="J88" s="58">
        <v>0</v>
      </c>
      <c r="K88" s="58">
        <v>0</v>
      </c>
      <c r="L88" s="318">
        <v>0</v>
      </c>
      <c r="M88" s="58">
        <v>0</v>
      </c>
      <c r="N88" s="58">
        <v>0</v>
      </c>
      <c r="O88" s="58">
        <v>0</v>
      </c>
      <c r="P88" s="316">
        <v>0</v>
      </c>
      <c r="Q88" s="316">
        <v>0</v>
      </c>
      <c r="R88" s="316">
        <v>0</v>
      </c>
      <c r="S88" s="264">
        <v>0</v>
      </c>
      <c r="T88" s="264">
        <v>0</v>
      </c>
      <c r="U88" s="264">
        <v>0</v>
      </c>
      <c r="V88" s="264">
        <f>+[31]EEFF_TE_Bra!V90</f>
        <v>0</v>
      </c>
    </row>
    <row r="89" spans="2:22">
      <c r="B89" s="44" t="s">
        <v>930</v>
      </c>
      <c r="C89" s="58">
        <v>12751</v>
      </c>
      <c r="D89" s="58">
        <v>16550</v>
      </c>
      <c r="E89" s="58">
        <v>32399</v>
      </c>
      <c r="F89" s="58">
        <v>39059</v>
      </c>
      <c r="G89" s="58">
        <v>39260</v>
      </c>
      <c r="H89" s="58">
        <v>40262</v>
      </c>
      <c r="I89" s="58">
        <v>39302</v>
      </c>
      <c r="J89" s="58">
        <v>44878</v>
      </c>
      <c r="K89" s="58">
        <v>45687</v>
      </c>
      <c r="L89" s="318">
        <v>48336</v>
      </c>
      <c r="M89" s="58">
        <v>48970</v>
      </c>
      <c r="N89" s="58">
        <v>52653</v>
      </c>
      <c r="O89" s="58">
        <v>52518</v>
      </c>
      <c r="P89" s="316">
        <v>49457</v>
      </c>
      <c r="Q89" s="316">
        <v>44836</v>
      </c>
      <c r="R89" s="316">
        <v>34900</v>
      </c>
      <c r="S89" s="264">
        <v>48778</v>
      </c>
      <c r="T89" s="264">
        <v>60851</v>
      </c>
      <c r="U89" s="264">
        <v>65207</v>
      </c>
      <c r="V89" s="264">
        <f>+[31]EEFF_TE_Bra!V91</f>
        <v>77913</v>
      </c>
    </row>
    <row r="90" spans="2:22">
      <c r="B90" s="44" t="s">
        <v>931</v>
      </c>
      <c r="C90" s="58"/>
      <c r="D90" s="58"/>
      <c r="E90" s="58"/>
      <c r="F90" s="58"/>
      <c r="G90" s="58"/>
      <c r="H90" s="58"/>
      <c r="I90" s="58"/>
      <c r="J90" s="58"/>
      <c r="K90" s="58"/>
      <c r="L90" s="318"/>
      <c r="M90" s="58"/>
      <c r="N90" s="58"/>
      <c r="O90" s="58"/>
      <c r="P90" s="316" t="s">
        <v>152</v>
      </c>
      <c r="Q90" s="316">
        <v>67260</v>
      </c>
      <c r="R90" s="316">
        <v>0</v>
      </c>
      <c r="S90" s="264" t="s">
        <v>152</v>
      </c>
      <c r="T90" s="264">
        <v>0</v>
      </c>
      <c r="U90" s="264">
        <v>0</v>
      </c>
      <c r="V90" s="264">
        <f>+[31]EEFF_TE_Bra!V92</f>
        <v>0</v>
      </c>
    </row>
    <row r="91" spans="2:22">
      <c r="B91" s="44" t="s">
        <v>198</v>
      </c>
      <c r="C91" s="58">
        <v>139946</v>
      </c>
      <c r="D91" s="58">
        <v>3112</v>
      </c>
      <c r="E91" s="58">
        <v>3111</v>
      </c>
      <c r="F91" s="58">
        <v>5159</v>
      </c>
      <c r="G91" s="58">
        <v>5137</v>
      </c>
      <c r="H91" s="58">
        <v>7835</v>
      </c>
      <c r="I91" s="58">
        <v>7831</v>
      </c>
      <c r="J91" s="58">
        <v>7798</v>
      </c>
      <c r="K91" s="58">
        <v>8411</v>
      </c>
      <c r="L91" s="318">
        <v>102079</v>
      </c>
      <c r="M91" s="58">
        <v>9731</v>
      </c>
      <c r="N91" s="58">
        <v>10102</v>
      </c>
      <c r="O91" s="58">
        <v>10406</v>
      </c>
      <c r="P91" s="316">
        <v>500513</v>
      </c>
      <c r="Q91" s="316">
        <v>1068548</v>
      </c>
      <c r="R91" s="316">
        <v>16236</v>
      </c>
      <c r="S91" s="264">
        <v>13467</v>
      </c>
      <c r="T91" s="264">
        <v>110543</v>
      </c>
      <c r="U91" s="264">
        <v>12828</v>
      </c>
      <c r="V91" s="264">
        <f>+[31]EEFF_TE_Bra!V93</f>
        <v>16217</v>
      </c>
    </row>
    <row r="92" spans="2:22">
      <c r="B92" s="44" t="s">
        <v>917</v>
      </c>
      <c r="C92" s="58">
        <v>33610</v>
      </c>
      <c r="D92" s="58">
        <v>36344</v>
      </c>
      <c r="E92" s="58">
        <v>29714</v>
      </c>
      <c r="F92" s="58">
        <v>40457</v>
      </c>
      <c r="G92" s="58">
        <v>42515</v>
      </c>
      <c r="H92" s="58">
        <v>37047</v>
      </c>
      <c r="I92" s="58">
        <v>29156</v>
      </c>
      <c r="J92" s="58">
        <v>38239</v>
      </c>
      <c r="K92" s="58">
        <v>41182</v>
      </c>
      <c r="L92" s="318">
        <v>33341</v>
      </c>
      <c r="M92" s="58">
        <v>26512</v>
      </c>
      <c r="N92" s="58">
        <v>37797</v>
      </c>
      <c r="O92" s="58">
        <v>48833</v>
      </c>
      <c r="P92" s="316">
        <v>45094</v>
      </c>
      <c r="Q92" s="316">
        <v>36212</v>
      </c>
      <c r="R92" s="316">
        <v>45062</v>
      </c>
      <c r="S92" s="264">
        <v>50475</v>
      </c>
      <c r="T92" s="264">
        <v>46507</v>
      </c>
      <c r="U92" s="264">
        <v>36651</v>
      </c>
      <c r="V92" s="264">
        <f>+[31]EEFF_TE_Bra!V94</f>
        <v>47483</v>
      </c>
    </row>
    <row r="93" spans="2:22">
      <c r="B93" s="44" t="s">
        <v>932</v>
      </c>
      <c r="C93" s="58">
        <v>5495</v>
      </c>
      <c r="D93" s="58">
        <v>2056</v>
      </c>
      <c r="E93" s="58">
        <v>3309</v>
      </c>
      <c r="F93" s="58">
        <v>4655</v>
      </c>
      <c r="G93" s="58">
        <v>3579</v>
      </c>
      <c r="H93" s="58">
        <v>4250</v>
      </c>
      <c r="I93" s="58">
        <v>5103</v>
      </c>
      <c r="J93" s="58">
        <v>4157</v>
      </c>
      <c r="K93" s="58">
        <v>3782</v>
      </c>
      <c r="L93" s="318">
        <v>2173</v>
      </c>
      <c r="M93" s="58">
        <v>2176</v>
      </c>
      <c r="N93" s="58">
        <v>2730</v>
      </c>
      <c r="O93" s="58">
        <v>868</v>
      </c>
      <c r="P93" s="316">
        <v>871</v>
      </c>
      <c r="Q93" s="316">
        <v>855</v>
      </c>
      <c r="R93" s="316">
        <v>858</v>
      </c>
      <c r="S93" s="264">
        <v>858</v>
      </c>
      <c r="T93" s="264">
        <v>858</v>
      </c>
      <c r="U93" s="264">
        <v>939</v>
      </c>
      <c r="V93" s="264">
        <f>+[31]EEFF_TE_Bra!V95</f>
        <v>947</v>
      </c>
    </row>
    <row r="94" spans="2:22" ht="14.15" customHeight="1">
      <c r="B94" s="44" t="s">
        <v>200</v>
      </c>
      <c r="C94" s="58">
        <v>0</v>
      </c>
      <c r="D94" s="58">
        <v>0</v>
      </c>
      <c r="E94" s="58">
        <v>0</v>
      </c>
      <c r="F94" s="58">
        <v>0</v>
      </c>
      <c r="G94" s="58">
        <v>1860</v>
      </c>
      <c r="H94" s="58">
        <v>2480</v>
      </c>
      <c r="I94" s="58">
        <v>2480</v>
      </c>
      <c r="J94" s="58">
        <v>2480</v>
      </c>
      <c r="K94" s="58">
        <v>2480</v>
      </c>
      <c r="L94" s="318">
        <v>2480</v>
      </c>
      <c r="M94" s="58">
        <v>2480</v>
      </c>
      <c r="N94" s="58">
        <v>2480</v>
      </c>
      <c r="O94" s="58">
        <v>2480</v>
      </c>
      <c r="P94" s="316">
        <v>2480</v>
      </c>
      <c r="Q94" s="316">
        <v>2480</v>
      </c>
      <c r="R94" s="316">
        <v>2480</v>
      </c>
      <c r="S94" s="264">
        <v>2480</v>
      </c>
      <c r="T94" s="264">
        <v>0</v>
      </c>
      <c r="U94" s="264">
        <v>2480</v>
      </c>
      <c r="V94" s="264">
        <f>+[31]EEFF_TE_Bra!V96</f>
        <v>2480</v>
      </c>
    </row>
    <row r="95" spans="2:22">
      <c r="B95" s="44" t="s">
        <v>144</v>
      </c>
      <c r="C95" s="58">
        <v>53047</v>
      </c>
      <c r="D95" s="58">
        <v>61180</v>
      </c>
      <c r="E95" s="58">
        <v>57876.328179999997</v>
      </c>
      <c r="F95" s="58">
        <v>16385</v>
      </c>
      <c r="G95" s="58">
        <v>13852</v>
      </c>
      <c r="H95" s="58">
        <v>34310</v>
      </c>
      <c r="I95" s="58">
        <v>27472</v>
      </c>
      <c r="J95" s="58">
        <v>56345</v>
      </c>
      <c r="K95" s="58">
        <v>70150</v>
      </c>
      <c r="L95" s="318">
        <v>80152</v>
      </c>
      <c r="M95" s="58">
        <v>55374</v>
      </c>
      <c r="N95" s="58">
        <v>34641</v>
      </c>
      <c r="O95" s="58">
        <v>45567</v>
      </c>
      <c r="P95" s="316">
        <v>43751</v>
      </c>
      <c r="Q95" s="316">
        <v>56930</v>
      </c>
      <c r="R95" s="316">
        <v>51770</v>
      </c>
      <c r="S95" s="264">
        <v>54165</v>
      </c>
      <c r="T95" s="264">
        <v>50713</v>
      </c>
      <c r="U95" s="264">
        <v>46184</v>
      </c>
      <c r="V95" s="264">
        <f>+[31]EEFF_TE_Bra!V97</f>
        <v>35593</v>
      </c>
    </row>
    <row r="96" spans="2:22">
      <c r="B96" s="257"/>
      <c r="C96" s="258">
        <f>SUM(C82:C95)</f>
        <v>597971</v>
      </c>
      <c r="D96" s="258">
        <f>SUM(D82:D95)</f>
        <v>789104</v>
      </c>
      <c r="E96" s="258">
        <f t="shared" ref="E96:M96" si="18">SUM(E82:E95)</f>
        <v>845766.32817999995</v>
      </c>
      <c r="F96" s="258">
        <f t="shared" si="18"/>
        <v>1024379</v>
      </c>
      <c r="G96" s="258">
        <f t="shared" si="18"/>
        <v>1009761</v>
      </c>
      <c r="H96" s="258">
        <f t="shared" si="18"/>
        <v>626698</v>
      </c>
      <c r="I96" s="258">
        <f t="shared" si="18"/>
        <v>724039</v>
      </c>
      <c r="J96" s="258">
        <f t="shared" si="18"/>
        <v>878935</v>
      </c>
      <c r="K96" s="258">
        <f>SUM(K82:K95)</f>
        <v>1548592</v>
      </c>
      <c r="L96" s="258">
        <f t="shared" si="18"/>
        <v>1615825</v>
      </c>
      <c r="M96" s="258">
        <f t="shared" si="18"/>
        <v>1708482</v>
      </c>
      <c r="N96" s="258">
        <f>SUM(N82:N95)</f>
        <v>1835704</v>
      </c>
      <c r="O96" s="258">
        <f>SUM(O82:O95)</f>
        <v>1400267</v>
      </c>
      <c r="P96" s="319">
        <f>SUM(P82:P95)</f>
        <v>1372497</v>
      </c>
      <c r="Q96" s="319">
        <f>SUM(Q82:Q95)</f>
        <v>2361322</v>
      </c>
      <c r="R96" s="319">
        <f>SUM(R82:R95)</f>
        <v>2002883</v>
      </c>
      <c r="S96" s="319">
        <f t="shared" ref="S96" si="19">SUM(S82:S95)</f>
        <v>1569859</v>
      </c>
      <c r="T96" s="319">
        <v>1229194</v>
      </c>
      <c r="U96" s="319">
        <v>1232215</v>
      </c>
      <c r="V96" s="319">
        <f>+[31]EEFF_TE_Bra!V98</f>
        <v>563357</v>
      </c>
    </row>
    <row r="97" spans="2:22">
      <c r="B97" s="259" t="s">
        <v>182</v>
      </c>
      <c r="C97" s="59"/>
      <c r="D97" s="59"/>
      <c r="E97" s="59"/>
      <c r="F97" s="259"/>
      <c r="G97" s="259"/>
      <c r="H97" s="259"/>
      <c r="I97" s="259"/>
      <c r="J97" s="259"/>
      <c r="K97" s="259"/>
      <c r="L97" s="554"/>
      <c r="M97" s="259"/>
      <c r="N97" s="259"/>
      <c r="O97" s="259"/>
      <c r="P97" s="320"/>
      <c r="Q97" s="320"/>
      <c r="R97" s="320"/>
      <c r="S97" s="320"/>
      <c r="T97" s="320"/>
      <c r="U97" s="320"/>
      <c r="V97" s="320"/>
    </row>
    <row r="98" spans="2:22">
      <c r="B98" s="44" t="s">
        <v>194</v>
      </c>
      <c r="C98" s="58">
        <v>432472</v>
      </c>
      <c r="D98" s="58">
        <v>690541</v>
      </c>
      <c r="E98" s="58">
        <v>677182</v>
      </c>
      <c r="F98" s="58">
        <v>657248</v>
      </c>
      <c r="G98" s="58">
        <v>1258364</v>
      </c>
      <c r="H98" s="58">
        <v>1215689</v>
      </c>
      <c r="I98" s="58">
        <v>1273554</v>
      </c>
      <c r="J98" s="58">
        <v>1264267</v>
      </c>
      <c r="K98" s="58">
        <v>660197</v>
      </c>
      <c r="L98" s="318">
        <v>637448</v>
      </c>
      <c r="M98" s="58">
        <v>620011</v>
      </c>
      <c r="N98" s="58">
        <v>1248161</v>
      </c>
      <c r="O98" s="58">
        <v>1228231</v>
      </c>
      <c r="P98" s="316">
        <v>1208301</v>
      </c>
      <c r="Q98" s="316">
        <v>1182886</v>
      </c>
      <c r="R98" s="316">
        <v>1722627</v>
      </c>
      <c r="S98" s="264">
        <v>1721742</v>
      </c>
      <c r="T98" s="264">
        <v>1728681</v>
      </c>
      <c r="U98" s="264">
        <v>1953199</v>
      </c>
      <c r="V98" s="264">
        <f>+[31]EEFF_TE_Bra!V100</f>
        <v>1985056</v>
      </c>
    </row>
    <row r="99" spans="2:22">
      <c r="B99" s="44" t="s">
        <v>195</v>
      </c>
      <c r="C99" s="58">
        <v>313931</v>
      </c>
      <c r="D99" s="58">
        <v>801007</v>
      </c>
      <c r="E99" s="58">
        <v>806204</v>
      </c>
      <c r="F99" s="58">
        <v>1420052</v>
      </c>
      <c r="G99" s="58">
        <v>1437775</v>
      </c>
      <c r="H99" s="58">
        <v>1441504</v>
      </c>
      <c r="I99" s="58">
        <v>1457692</v>
      </c>
      <c r="J99" s="58">
        <v>1475140</v>
      </c>
      <c r="K99" s="58">
        <v>1480445</v>
      </c>
      <c r="L99" s="318">
        <v>1528971</v>
      </c>
      <c r="M99" s="58">
        <v>1554166</v>
      </c>
      <c r="N99" s="58">
        <v>1545549</v>
      </c>
      <c r="O99" s="58">
        <v>1392099</v>
      </c>
      <c r="P99" s="316">
        <v>2961318</v>
      </c>
      <c r="Q99" s="316">
        <v>3664357</v>
      </c>
      <c r="R99" s="316">
        <v>3707753</v>
      </c>
      <c r="S99" s="264">
        <v>3788738</v>
      </c>
      <c r="T99" s="264">
        <v>4829761</v>
      </c>
      <c r="U99" s="264">
        <v>4938992</v>
      </c>
      <c r="V99" s="264">
        <f>+[31]EEFF_TE_Bra!V101</f>
        <v>5783645</v>
      </c>
    </row>
    <row r="100" spans="2:22">
      <c r="B100" s="44" t="s">
        <v>196</v>
      </c>
      <c r="C100" s="58">
        <v>0</v>
      </c>
      <c r="D100" s="58">
        <v>0</v>
      </c>
      <c r="E100" s="58">
        <v>0</v>
      </c>
      <c r="F100" s="58">
        <v>0</v>
      </c>
      <c r="G100" s="58">
        <v>0</v>
      </c>
      <c r="H100" s="58">
        <v>0</v>
      </c>
      <c r="I100" s="58">
        <v>0</v>
      </c>
      <c r="J100" s="58">
        <v>42872</v>
      </c>
      <c r="K100" s="58">
        <v>42449</v>
      </c>
      <c r="L100" s="318">
        <v>39948</v>
      </c>
      <c r="M100" s="58">
        <v>47616</v>
      </c>
      <c r="N100" s="58">
        <v>45547</v>
      </c>
      <c r="O100" s="58">
        <v>46627</v>
      </c>
      <c r="P100" s="316">
        <v>44742</v>
      </c>
      <c r="Q100" s="316">
        <v>42856</v>
      </c>
      <c r="R100" s="316">
        <v>49135</v>
      </c>
      <c r="S100" s="264">
        <v>47902</v>
      </c>
      <c r="T100" s="264">
        <v>45005</v>
      </c>
      <c r="U100" s="264">
        <v>42927</v>
      </c>
      <c r="V100" s="264">
        <f>+[31]EEFF_TE_Bra!V102</f>
        <v>39980</v>
      </c>
    </row>
    <row r="101" spans="2:22">
      <c r="B101" s="44" t="s">
        <v>177</v>
      </c>
      <c r="C101" s="58">
        <v>0</v>
      </c>
      <c r="D101" s="58">
        <v>0</v>
      </c>
      <c r="E101" s="58">
        <v>0</v>
      </c>
      <c r="F101" s="58">
        <v>0</v>
      </c>
      <c r="G101" s="58">
        <v>0</v>
      </c>
      <c r="H101" s="58">
        <v>0</v>
      </c>
      <c r="I101" s="58">
        <v>9984</v>
      </c>
      <c r="J101" s="58">
        <v>2760</v>
      </c>
      <c r="K101" s="58">
        <v>0</v>
      </c>
      <c r="L101" s="318">
        <v>135</v>
      </c>
      <c r="M101" s="58">
        <v>0</v>
      </c>
      <c r="N101" s="58">
        <v>0</v>
      </c>
      <c r="O101" s="58">
        <v>0</v>
      </c>
      <c r="P101" s="316" t="s">
        <v>152</v>
      </c>
      <c r="Q101" s="316" t="s">
        <v>152</v>
      </c>
      <c r="R101" s="316" t="s">
        <v>152</v>
      </c>
      <c r="S101" s="264" t="s">
        <v>152</v>
      </c>
      <c r="T101" s="264" t="s">
        <v>152</v>
      </c>
      <c r="U101" s="264">
        <v>6561</v>
      </c>
      <c r="V101" s="264">
        <f>+[31]EEFF_TE_Bra!V103</f>
        <v>0</v>
      </c>
    </row>
    <row r="102" spans="2:22">
      <c r="B102" s="44" t="s">
        <v>197</v>
      </c>
      <c r="C102" s="58"/>
      <c r="D102" s="58"/>
      <c r="E102" s="58"/>
      <c r="F102" s="58"/>
      <c r="G102" s="58"/>
      <c r="H102" s="58"/>
      <c r="I102" s="58"/>
      <c r="J102" s="58"/>
      <c r="K102" s="58"/>
      <c r="L102" s="318"/>
      <c r="M102" s="58"/>
      <c r="N102" s="58"/>
      <c r="O102" s="58"/>
      <c r="P102" s="316" t="s">
        <v>152</v>
      </c>
      <c r="Q102" s="316" t="s">
        <v>152</v>
      </c>
      <c r="R102" s="316">
        <v>14535</v>
      </c>
      <c r="S102" s="264">
        <v>32213</v>
      </c>
      <c r="T102" s="264">
        <v>6336</v>
      </c>
      <c r="U102" s="264">
        <v>6323</v>
      </c>
      <c r="V102" s="264">
        <f>+[31]EEFF_TE_Bra!V104</f>
        <v>6308</v>
      </c>
    </row>
    <row r="103" spans="2:22">
      <c r="B103" s="44" t="s">
        <v>1133</v>
      </c>
      <c r="C103" s="58"/>
      <c r="D103" s="58"/>
      <c r="E103" s="58"/>
      <c r="F103" s="58"/>
      <c r="G103" s="58"/>
      <c r="H103" s="58"/>
      <c r="I103" s="58"/>
      <c r="J103" s="58"/>
      <c r="K103" s="58"/>
      <c r="L103" s="318"/>
      <c r="M103" s="58"/>
      <c r="N103" s="58"/>
      <c r="O103" s="58"/>
      <c r="P103" s="316"/>
      <c r="Q103" s="316"/>
      <c r="R103" s="316"/>
      <c r="S103" s="264"/>
      <c r="T103" s="264"/>
      <c r="U103" s="264">
        <v>125711</v>
      </c>
      <c r="V103" s="264">
        <f>+[31]EEFF_TE_Bra!V105</f>
        <v>123481</v>
      </c>
    </row>
    <row r="104" spans="2:22">
      <c r="B104" s="44" t="s">
        <v>732</v>
      </c>
      <c r="C104" s="58"/>
      <c r="D104" s="58"/>
      <c r="E104" s="58"/>
      <c r="F104" s="58"/>
      <c r="G104" s="58"/>
      <c r="H104" s="58"/>
      <c r="I104" s="58"/>
      <c r="J104" s="58"/>
      <c r="K104" s="58"/>
      <c r="L104" s="316" t="s">
        <v>152</v>
      </c>
      <c r="M104" s="316" t="s">
        <v>152</v>
      </c>
      <c r="N104" s="316" t="s">
        <v>152</v>
      </c>
      <c r="O104" s="316" t="s">
        <v>152</v>
      </c>
      <c r="P104" s="316">
        <v>381977</v>
      </c>
      <c r="Q104" s="316">
        <v>394078</v>
      </c>
      <c r="R104" s="316">
        <v>406048</v>
      </c>
      <c r="S104" s="264">
        <v>417940</v>
      </c>
      <c r="T104" s="264">
        <v>465454</v>
      </c>
      <c r="U104" s="264">
        <v>481625</v>
      </c>
      <c r="V104" s="264">
        <f>+[31]EEFF_TE_Bra!V106</f>
        <v>497352</v>
      </c>
    </row>
    <row r="105" spans="2:22">
      <c r="B105" s="44" t="s">
        <v>929</v>
      </c>
      <c r="C105" s="58">
        <v>119857</v>
      </c>
      <c r="D105" s="58">
        <v>0</v>
      </c>
      <c r="E105" s="58">
        <v>0</v>
      </c>
      <c r="F105" s="58">
        <v>0</v>
      </c>
      <c r="G105" s="58">
        <v>102672</v>
      </c>
      <c r="H105" s="58">
        <v>0</v>
      </c>
      <c r="I105" s="58">
        <v>0</v>
      </c>
      <c r="J105" s="58">
        <v>0</v>
      </c>
      <c r="K105" s="58">
        <v>0</v>
      </c>
      <c r="L105" s="318">
        <v>0</v>
      </c>
      <c r="M105" s="58">
        <v>0</v>
      </c>
      <c r="N105" s="58">
        <v>0</v>
      </c>
      <c r="O105" s="58">
        <v>0</v>
      </c>
      <c r="P105" s="316">
        <v>0</v>
      </c>
      <c r="Q105" s="316">
        <v>0</v>
      </c>
      <c r="R105" s="316">
        <v>0</v>
      </c>
      <c r="S105" s="264">
        <v>0</v>
      </c>
      <c r="T105" s="264">
        <v>0</v>
      </c>
      <c r="U105" s="264">
        <v>0</v>
      </c>
      <c r="V105" s="264">
        <f>+[31]EEFF_TE_Bra!V107</f>
        <v>0</v>
      </c>
    </row>
    <row r="106" spans="2:22">
      <c r="B106" s="44" t="s">
        <v>201</v>
      </c>
      <c r="C106" s="58">
        <v>989445</v>
      </c>
      <c r="D106" s="58">
        <v>1147381</v>
      </c>
      <c r="E106" s="58">
        <v>1124479</v>
      </c>
      <c r="F106" s="58">
        <v>1104911</v>
      </c>
      <c r="G106" s="58">
        <v>2343209</v>
      </c>
      <c r="H106" s="58">
        <v>1176566</v>
      </c>
      <c r="I106" s="58">
        <v>1177627</v>
      </c>
      <c r="J106" s="58">
        <v>1197183</v>
      </c>
      <c r="K106" s="58">
        <v>1192371</v>
      </c>
      <c r="L106" s="318">
        <v>1185323</v>
      </c>
      <c r="M106" s="58">
        <v>1179839</v>
      </c>
      <c r="N106" s="58">
        <v>1264433</v>
      </c>
      <c r="O106" s="58">
        <v>1256820</v>
      </c>
      <c r="P106" s="316">
        <v>1318796</v>
      </c>
      <c r="Q106" s="316">
        <v>1527911</v>
      </c>
      <c r="R106" s="316">
        <v>1578813</v>
      </c>
      <c r="S106" s="264">
        <v>1635997</v>
      </c>
      <c r="T106" s="264">
        <v>1694586</v>
      </c>
      <c r="U106" s="264">
        <v>1743514</v>
      </c>
      <c r="V106" s="264">
        <f>+[31]EEFF_TE_Bra!V108</f>
        <v>1812416</v>
      </c>
    </row>
    <row r="107" spans="2:22">
      <c r="B107" s="44" t="s">
        <v>186</v>
      </c>
      <c r="C107" s="58">
        <v>2106603</v>
      </c>
      <c r="D107" s="58">
        <v>2418125</v>
      </c>
      <c r="E107" s="58">
        <v>2347207</v>
      </c>
      <c r="F107" s="58">
        <v>2283080</v>
      </c>
      <c r="G107" s="58">
        <v>1125728</v>
      </c>
      <c r="H107" s="58">
        <v>2603438</v>
      </c>
      <c r="I107" s="58">
        <v>2638945</v>
      </c>
      <c r="J107" s="58">
        <v>2699617</v>
      </c>
      <c r="K107" s="58">
        <v>2686190</v>
      </c>
      <c r="L107" s="318">
        <v>2673970</v>
      </c>
      <c r="M107" s="58">
        <v>2742928</v>
      </c>
      <c r="N107" s="58">
        <v>3012528</v>
      </c>
      <c r="O107" s="58">
        <v>2951233</v>
      </c>
      <c r="P107" s="316">
        <v>2955826</v>
      </c>
      <c r="Q107" s="316">
        <v>3439088</v>
      </c>
      <c r="R107" s="316">
        <v>3687902</v>
      </c>
      <c r="S107" s="264">
        <v>3841197</v>
      </c>
      <c r="T107" s="264">
        <v>3987167</v>
      </c>
      <c r="U107" s="264">
        <v>4114555</v>
      </c>
      <c r="V107" s="264">
        <f>+[31]EEFF_TE_Bra!V109</f>
        <v>4295897</v>
      </c>
    </row>
    <row r="108" spans="2:22">
      <c r="B108" s="44" t="s">
        <v>930</v>
      </c>
      <c r="C108" s="58">
        <v>32509</v>
      </c>
      <c r="D108" s="58">
        <v>54250</v>
      </c>
      <c r="E108" s="58">
        <v>40848</v>
      </c>
      <c r="F108" s="58">
        <v>42962</v>
      </c>
      <c r="G108" s="58">
        <v>20333</v>
      </c>
      <c r="H108" s="58">
        <v>35925</v>
      </c>
      <c r="I108" s="58">
        <v>39380</v>
      </c>
      <c r="J108" s="58">
        <v>37756</v>
      </c>
      <c r="K108" s="58">
        <v>41836</v>
      </c>
      <c r="L108" s="318">
        <v>41236</v>
      </c>
      <c r="M108" s="58">
        <v>34179</v>
      </c>
      <c r="N108" s="58">
        <v>40742</v>
      </c>
      <c r="O108" s="58">
        <v>42419</v>
      </c>
      <c r="P108" s="316">
        <v>48065</v>
      </c>
      <c r="Q108" s="316">
        <v>50331</v>
      </c>
      <c r="R108" s="316">
        <v>50036</v>
      </c>
      <c r="S108" s="264">
        <v>35141</v>
      </c>
      <c r="T108" s="264">
        <v>37211</v>
      </c>
      <c r="U108" s="264">
        <v>22461</v>
      </c>
      <c r="V108" s="264">
        <f>+[31]EEFF_TE_Bra!V110</f>
        <v>20532</v>
      </c>
    </row>
    <row r="109" spans="2:22" ht="18" customHeight="1">
      <c r="B109" s="44" t="s">
        <v>199</v>
      </c>
      <c r="C109" s="58">
        <v>153035</v>
      </c>
      <c r="D109" s="58">
        <v>121553</v>
      </c>
      <c r="E109" s="58">
        <v>125321</v>
      </c>
      <c r="F109" s="58">
        <v>113686</v>
      </c>
      <c r="G109" s="58">
        <v>34827</v>
      </c>
      <c r="H109" s="58">
        <v>90708</v>
      </c>
      <c r="I109" s="58">
        <v>91036</v>
      </c>
      <c r="J109" s="58">
        <v>92755</v>
      </c>
      <c r="K109" s="58">
        <v>86780</v>
      </c>
      <c r="L109" s="318">
        <v>62367</v>
      </c>
      <c r="M109" s="58">
        <v>59509</v>
      </c>
      <c r="N109" s="58">
        <v>58816</v>
      </c>
      <c r="O109" s="58">
        <v>83168</v>
      </c>
      <c r="P109" s="316">
        <v>88682</v>
      </c>
      <c r="Q109" s="316">
        <v>128730</v>
      </c>
      <c r="R109" s="316">
        <v>119037</v>
      </c>
      <c r="S109" s="264">
        <v>116588</v>
      </c>
      <c r="T109" s="264">
        <v>124758</v>
      </c>
      <c r="U109" s="264">
        <v>0</v>
      </c>
      <c r="V109" s="264">
        <f>+[31]EEFF_TE_Bra!V111</f>
        <v>0</v>
      </c>
    </row>
    <row r="110" spans="2:22">
      <c r="B110" s="44" t="s">
        <v>202</v>
      </c>
      <c r="C110" s="58">
        <v>0</v>
      </c>
      <c r="D110" s="58">
        <v>24053</v>
      </c>
      <c r="E110" s="58">
        <v>0</v>
      </c>
      <c r="F110" s="58">
        <v>0</v>
      </c>
      <c r="G110" s="58">
        <v>0</v>
      </c>
      <c r="H110" s="58">
        <v>19093</v>
      </c>
      <c r="I110" s="58">
        <v>18473</v>
      </c>
      <c r="J110" s="58">
        <v>17853</v>
      </c>
      <c r="K110" s="58">
        <v>17232</v>
      </c>
      <c r="L110" s="318">
        <v>16612</v>
      </c>
      <c r="M110" s="58">
        <v>15992</v>
      </c>
      <c r="N110" s="58">
        <v>15372</v>
      </c>
      <c r="O110" s="58">
        <v>14752</v>
      </c>
      <c r="P110" s="316">
        <v>14132</v>
      </c>
      <c r="Q110" s="316">
        <v>13512</v>
      </c>
      <c r="R110" s="316">
        <v>12892</v>
      </c>
      <c r="S110" s="264">
        <v>12272</v>
      </c>
      <c r="T110" s="264">
        <v>0</v>
      </c>
      <c r="U110" s="264">
        <v>0</v>
      </c>
      <c r="V110" s="264">
        <f>+[31]EEFF_TE_Bra!V112</f>
        <v>0</v>
      </c>
    </row>
    <row r="111" spans="2:22" ht="22" customHeight="1">
      <c r="B111" s="44" t="s">
        <v>144</v>
      </c>
      <c r="C111" s="58">
        <v>24053</v>
      </c>
      <c r="D111" s="58">
        <v>6503</v>
      </c>
      <c r="E111" s="58">
        <v>27454.67182</v>
      </c>
      <c r="F111" s="58">
        <v>53841</v>
      </c>
      <c r="G111" s="58">
        <v>34532</v>
      </c>
      <c r="H111" s="58">
        <v>33078</v>
      </c>
      <c r="I111" s="58">
        <v>33602</v>
      </c>
      <c r="J111" s="58">
        <v>34572</v>
      </c>
      <c r="K111" s="58">
        <v>35152</v>
      </c>
      <c r="L111" s="318">
        <v>35652</v>
      </c>
      <c r="M111" s="58">
        <v>46714</v>
      </c>
      <c r="N111" s="58">
        <v>48201</v>
      </c>
      <c r="O111" s="58">
        <v>93739</v>
      </c>
      <c r="P111" s="316">
        <v>77624</v>
      </c>
      <c r="Q111" s="316">
        <v>36621</v>
      </c>
      <c r="R111" s="316">
        <v>37118</v>
      </c>
      <c r="S111" s="264">
        <v>41193</v>
      </c>
      <c r="T111" s="264">
        <v>35851</v>
      </c>
      <c r="U111" s="264">
        <v>33982</v>
      </c>
      <c r="V111" s="264">
        <f>+[31]EEFF_TE_Bra!V113</f>
        <v>29540</v>
      </c>
    </row>
    <row r="112" spans="2:22">
      <c r="B112" s="257" t="s">
        <v>203</v>
      </c>
      <c r="C112" s="258">
        <f>SUM(C98:C111)</f>
        <v>4171905</v>
      </c>
      <c r="D112" s="258">
        <f>SUM(D98:D111)</f>
        <v>5263413</v>
      </c>
      <c r="E112" s="258">
        <f t="shared" ref="E112:M112" si="20">SUM(E98:E111)</f>
        <v>5148695.6718199998</v>
      </c>
      <c r="F112" s="261">
        <f t="shared" si="20"/>
        <v>5675780</v>
      </c>
      <c r="G112" s="261">
        <f t="shared" si="20"/>
        <v>6357440</v>
      </c>
      <c r="H112" s="261">
        <f t="shared" si="20"/>
        <v>6616001</v>
      </c>
      <c r="I112" s="261">
        <f t="shared" si="20"/>
        <v>6740293</v>
      </c>
      <c r="J112" s="261">
        <f t="shared" si="20"/>
        <v>6864775</v>
      </c>
      <c r="K112" s="261">
        <f>SUM(K98:K111)</f>
        <v>6242652</v>
      </c>
      <c r="L112" s="261">
        <f t="shared" si="20"/>
        <v>6221662</v>
      </c>
      <c r="M112" s="261">
        <f t="shared" si="20"/>
        <v>6300954</v>
      </c>
      <c r="N112" s="261">
        <f>SUM(N98:N111)</f>
        <v>7279349</v>
      </c>
      <c r="O112" s="261">
        <f>SUM(O98:O111)</f>
        <v>7109088</v>
      </c>
      <c r="P112" s="319">
        <f>SUM(P98:P111)</f>
        <v>9099463</v>
      </c>
      <c r="Q112" s="319">
        <f>SUM(Q98:Q111)</f>
        <v>10480370</v>
      </c>
      <c r="R112" s="319">
        <f>SUM(R98:R111)</f>
        <v>11385896</v>
      </c>
      <c r="S112" s="319">
        <f t="shared" ref="S112" si="21">SUM(S98:S111)</f>
        <v>11690923</v>
      </c>
      <c r="T112" s="319">
        <v>12954810</v>
      </c>
      <c r="U112" s="319">
        <v>13469850</v>
      </c>
      <c r="V112" s="319">
        <f>+[31]EEFF_TE_Bra!V114</f>
        <v>14594207</v>
      </c>
    </row>
    <row r="113" spans="1:22">
      <c r="C113" s="56"/>
      <c r="D113" s="56"/>
      <c r="E113" s="260"/>
      <c r="L113" s="547"/>
      <c r="P113" s="322"/>
      <c r="Q113" s="322"/>
      <c r="R113" s="322"/>
      <c r="S113" s="322"/>
    </row>
    <row r="114" spans="1:22">
      <c r="B114" s="44" t="s">
        <v>167</v>
      </c>
      <c r="C114" s="58">
        <v>178733</v>
      </c>
      <c r="D114" s="58">
        <v>214939</v>
      </c>
      <c r="E114" s="58">
        <v>201431</v>
      </c>
      <c r="F114" s="58">
        <v>212706</v>
      </c>
      <c r="G114" s="58">
        <v>226286</v>
      </c>
      <c r="H114" s="58">
        <v>230878</v>
      </c>
      <c r="I114" s="58">
        <v>282713</v>
      </c>
      <c r="J114" s="58">
        <v>287177</v>
      </c>
      <c r="K114" s="58">
        <v>273453</v>
      </c>
      <c r="L114" s="318">
        <v>1967288</v>
      </c>
      <c r="M114" s="58">
        <v>502442</v>
      </c>
      <c r="N114" s="58">
        <v>369210</v>
      </c>
      <c r="O114" s="58">
        <v>327872</v>
      </c>
      <c r="P114" s="316" t="s">
        <v>152</v>
      </c>
      <c r="Q114" s="316" t="s">
        <v>152</v>
      </c>
      <c r="R114" s="316" t="s">
        <v>152</v>
      </c>
      <c r="S114" s="316" t="s">
        <v>152</v>
      </c>
      <c r="T114" s="316" t="s">
        <v>152</v>
      </c>
    </row>
    <row r="115" spans="1:22">
      <c r="B115" s="564"/>
      <c r="C115" s="565"/>
      <c r="D115" s="565"/>
      <c r="E115" s="566"/>
      <c r="F115" s="565"/>
      <c r="G115" s="565"/>
      <c r="H115" s="565"/>
      <c r="I115" s="564"/>
      <c r="J115" s="565"/>
      <c r="K115" s="565"/>
      <c r="L115" s="575"/>
      <c r="M115" s="565"/>
      <c r="N115" s="565"/>
      <c r="O115" s="565"/>
      <c r="P115" s="567"/>
      <c r="Q115" s="567"/>
      <c r="R115" s="567"/>
      <c r="S115" s="567"/>
    </row>
    <row r="116" spans="1:22">
      <c r="B116" s="259" t="s">
        <v>204</v>
      </c>
      <c r="C116" s="59"/>
      <c r="D116" s="59"/>
      <c r="E116" s="59"/>
      <c r="F116" s="59"/>
      <c r="G116" s="59"/>
      <c r="H116" s="59"/>
      <c r="I116" s="259"/>
      <c r="J116" s="59"/>
      <c r="K116" s="59"/>
      <c r="L116" s="551"/>
      <c r="M116" s="59"/>
      <c r="N116" s="59"/>
      <c r="O116" s="59"/>
      <c r="P116" s="320"/>
      <c r="Q116" s="320"/>
      <c r="R116" s="320"/>
      <c r="S116" s="320"/>
      <c r="T116" s="320"/>
      <c r="U116" s="320"/>
      <c r="V116" s="320"/>
    </row>
    <row r="117" spans="1:22">
      <c r="B117" s="44" t="s">
        <v>205</v>
      </c>
      <c r="C117" s="58">
        <v>2372437</v>
      </c>
      <c r="D117" s="58">
        <v>3590020</v>
      </c>
      <c r="E117" s="58">
        <v>3590020</v>
      </c>
      <c r="F117" s="58">
        <v>3590020</v>
      </c>
      <c r="G117" s="58">
        <v>3590020</v>
      </c>
      <c r="H117" s="58">
        <v>3590020</v>
      </c>
      <c r="I117" s="58">
        <v>3590020</v>
      </c>
      <c r="J117" s="58">
        <v>3590020</v>
      </c>
      <c r="K117" s="58">
        <v>3590020</v>
      </c>
      <c r="L117" s="318">
        <v>3590020</v>
      </c>
      <c r="M117" s="58">
        <v>3590020</v>
      </c>
      <c r="N117" s="58">
        <v>3590020</v>
      </c>
      <c r="O117" s="58">
        <v>3590020</v>
      </c>
      <c r="P117" s="316">
        <v>3590020</v>
      </c>
      <c r="Q117" s="316">
        <v>3590020</v>
      </c>
      <c r="R117" s="316">
        <v>3590020</v>
      </c>
      <c r="S117" s="264">
        <v>3590020</v>
      </c>
      <c r="T117" s="264">
        <v>3590020</v>
      </c>
      <c r="U117" s="264">
        <v>3590020</v>
      </c>
      <c r="V117" s="264">
        <f>+[31]EEFF_TE_Bra!V119</f>
        <v>3590020</v>
      </c>
    </row>
    <row r="118" spans="1:22">
      <c r="B118" s="44" t="s">
        <v>206</v>
      </c>
      <c r="C118" s="58">
        <v>1217583</v>
      </c>
      <c r="D118" s="58">
        <v>666</v>
      </c>
      <c r="E118" s="58">
        <v>666</v>
      </c>
      <c r="F118" s="58">
        <v>666</v>
      </c>
      <c r="G118" s="58">
        <v>666</v>
      </c>
      <c r="H118" s="58">
        <v>666</v>
      </c>
      <c r="I118" s="58">
        <v>666</v>
      </c>
      <c r="J118" s="58">
        <v>666</v>
      </c>
      <c r="K118" s="58">
        <v>666</v>
      </c>
      <c r="L118" s="318">
        <v>666</v>
      </c>
      <c r="M118" s="58">
        <v>666</v>
      </c>
      <c r="N118" s="58">
        <v>666</v>
      </c>
      <c r="O118" s="58">
        <v>666</v>
      </c>
      <c r="P118" s="316">
        <v>666</v>
      </c>
      <c r="Q118" s="316">
        <v>666</v>
      </c>
      <c r="R118" s="316">
        <v>666</v>
      </c>
      <c r="S118" s="264">
        <v>666</v>
      </c>
      <c r="T118" s="264">
        <v>666</v>
      </c>
      <c r="U118" s="264">
        <v>666</v>
      </c>
      <c r="V118" s="264">
        <f>+[31]EEFF_TE_Bra!V120</f>
        <v>666</v>
      </c>
    </row>
    <row r="119" spans="1:22">
      <c r="B119" s="44" t="s">
        <v>207</v>
      </c>
      <c r="C119" s="58">
        <v>6527704</v>
      </c>
      <c r="D119" s="58">
        <v>7394031</v>
      </c>
      <c r="E119" s="58">
        <v>7394031</v>
      </c>
      <c r="F119" s="58">
        <v>6549032</v>
      </c>
      <c r="G119" s="58">
        <v>6549032</v>
      </c>
      <c r="H119" s="58">
        <v>7404769</v>
      </c>
      <c r="I119" s="58">
        <v>7404769</v>
      </c>
      <c r="J119" s="58">
        <v>7404769</v>
      </c>
      <c r="K119" s="58">
        <v>7404769</v>
      </c>
      <c r="L119" s="318">
        <v>8172442</v>
      </c>
      <c r="M119" s="58">
        <v>8172442</v>
      </c>
      <c r="N119" s="58">
        <v>8172442</v>
      </c>
      <c r="O119" s="58">
        <v>8172442</v>
      </c>
      <c r="P119" s="316">
        <v>9863692</v>
      </c>
      <c r="Q119" s="316">
        <v>9332529</v>
      </c>
      <c r="R119" s="316">
        <v>9332529</v>
      </c>
      <c r="S119" s="264">
        <v>9332529</v>
      </c>
      <c r="T119" s="264">
        <v>11045897</v>
      </c>
      <c r="U119" s="264">
        <v>11588971</v>
      </c>
      <c r="V119" s="264">
        <f>+[31]EEFF_TE_Bra!V121</f>
        <v>12288676</v>
      </c>
    </row>
    <row r="120" spans="1:22">
      <c r="B120" s="44" t="s">
        <v>918</v>
      </c>
      <c r="C120" s="58"/>
      <c r="D120" s="58"/>
      <c r="E120" s="58"/>
      <c r="F120" s="58"/>
      <c r="G120" s="58"/>
      <c r="H120" s="58"/>
      <c r="I120" s="58"/>
      <c r="J120" s="58"/>
      <c r="K120" s="58"/>
      <c r="L120" s="316" t="s">
        <v>152</v>
      </c>
      <c r="M120" s="58"/>
      <c r="N120" s="58"/>
      <c r="O120" s="58"/>
      <c r="P120" s="316">
        <v>-364659</v>
      </c>
      <c r="Q120" s="316">
        <v>-364659</v>
      </c>
      <c r="R120" s="316">
        <v>-240676</v>
      </c>
      <c r="S120" s="264">
        <v>-240676</v>
      </c>
      <c r="T120" s="264">
        <v>0</v>
      </c>
      <c r="U120" s="264">
        <v>-283180</v>
      </c>
      <c r="V120" s="264">
        <f>+[31]EEFF_TE_Bra!V122</f>
        <v>-277910</v>
      </c>
    </row>
    <row r="121" spans="1:22">
      <c r="B121" s="44" t="s">
        <v>208</v>
      </c>
      <c r="C121" s="58">
        <v>0</v>
      </c>
      <c r="D121" s="58">
        <v>0</v>
      </c>
      <c r="E121" s="58">
        <v>236948</v>
      </c>
      <c r="F121" s="58">
        <v>482122</v>
      </c>
      <c r="G121" s="58">
        <v>1173923</v>
      </c>
      <c r="H121" s="58">
        <v>73192</v>
      </c>
      <c r="I121" s="58">
        <v>73389</v>
      </c>
      <c r="J121" s="58">
        <v>70369</v>
      </c>
      <c r="K121" s="58">
        <v>77405</v>
      </c>
      <c r="L121" s="318">
        <v>31191</v>
      </c>
      <c r="M121" s="58">
        <v>63630</v>
      </c>
      <c r="N121" s="58">
        <v>62841</v>
      </c>
      <c r="O121" s="58">
        <v>53225</v>
      </c>
      <c r="P121" s="316">
        <v>140114</v>
      </c>
      <c r="Q121" s="316">
        <v>166601</v>
      </c>
      <c r="R121" s="316">
        <v>17481</v>
      </c>
      <c r="S121" s="264">
        <v>32052</v>
      </c>
      <c r="T121" s="264">
        <v>-237377</v>
      </c>
      <c r="U121" s="264">
        <v>0</v>
      </c>
      <c r="V121" s="264">
        <f>+[31]EEFF_TE_Bra!V123</f>
        <v>0</v>
      </c>
    </row>
    <row r="122" spans="1:22">
      <c r="B122" s="44" t="s">
        <v>919</v>
      </c>
      <c r="C122" s="58"/>
      <c r="D122" s="58"/>
      <c r="E122" s="58"/>
      <c r="F122" s="58"/>
      <c r="G122" s="58"/>
      <c r="H122" s="58"/>
      <c r="I122" s="58"/>
      <c r="J122" s="58"/>
      <c r="K122" s="58"/>
      <c r="L122" s="318"/>
      <c r="M122" s="58"/>
      <c r="N122" s="58"/>
      <c r="O122" s="58"/>
      <c r="P122" s="316">
        <v>114129</v>
      </c>
      <c r="Q122" s="316">
        <v>582624</v>
      </c>
      <c r="R122" s="316">
        <v>1432623</v>
      </c>
      <c r="S122" s="264">
        <v>1828402</v>
      </c>
      <c r="T122" s="264">
        <v>0</v>
      </c>
      <c r="U122" s="264">
        <v>0</v>
      </c>
      <c r="V122" s="264">
        <f>+[31]EEFF_TE_Bra!V124</f>
        <v>0</v>
      </c>
    </row>
    <row r="123" spans="1:22">
      <c r="B123" s="44" t="s">
        <v>209</v>
      </c>
      <c r="C123" s="58">
        <v>0</v>
      </c>
      <c r="D123" s="58">
        <v>0</v>
      </c>
      <c r="E123" s="58">
        <v>0</v>
      </c>
      <c r="F123" s="58">
        <v>0</v>
      </c>
      <c r="G123" s="58">
        <v>0</v>
      </c>
      <c r="H123" s="58">
        <v>0</v>
      </c>
      <c r="I123" s="58">
        <v>353512</v>
      </c>
      <c r="J123" s="58">
        <v>811826</v>
      </c>
      <c r="K123" s="58">
        <v>876789</v>
      </c>
      <c r="L123" s="318">
        <v>0</v>
      </c>
      <c r="M123" s="58">
        <v>392831</v>
      </c>
      <c r="N123" s="58">
        <v>1121337</v>
      </c>
      <c r="O123" s="58">
        <v>1514967</v>
      </c>
      <c r="P123" s="316">
        <v>524450</v>
      </c>
      <c r="Q123" s="316">
        <v>0</v>
      </c>
      <c r="R123" s="316">
        <v>0</v>
      </c>
      <c r="S123" s="264">
        <v>0</v>
      </c>
      <c r="T123" s="264">
        <v>0</v>
      </c>
      <c r="U123" s="264">
        <v>0</v>
      </c>
      <c r="V123" s="264">
        <f>+[31]EEFF_TE_Bra!V125</f>
        <v>0</v>
      </c>
    </row>
    <row r="124" spans="1:22">
      <c r="A124" s="272"/>
      <c r="B124" s="257" t="s">
        <v>210</v>
      </c>
      <c r="C124" s="555">
        <f t="shared" ref="C124:K124" si="22">SUM(C114:C123)</f>
        <v>10296457</v>
      </c>
      <c r="D124" s="555">
        <f t="shared" si="22"/>
        <v>11199656</v>
      </c>
      <c r="E124" s="555">
        <f t="shared" si="22"/>
        <v>11423096</v>
      </c>
      <c r="F124" s="555">
        <f t="shared" si="22"/>
        <v>10834546</v>
      </c>
      <c r="G124" s="555">
        <f t="shared" si="22"/>
        <v>11539927</v>
      </c>
      <c r="H124" s="555">
        <f t="shared" si="22"/>
        <v>11299525</v>
      </c>
      <c r="I124" s="555">
        <f t="shared" si="22"/>
        <v>11705069</v>
      </c>
      <c r="J124" s="555">
        <f t="shared" si="22"/>
        <v>12164827</v>
      </c>
      <c r="K124" s="555">
        <f t="shared" si="22"/>
        <v>12223102</v>
      </c>
      <c r="L124" s="319">
        <f>SUM(L117:L123)</f>
        <v>11794319</v>
      </c>
      <c r="M124" s="555">
        <f>SUM(M114:M123)</f>
        <v>12722031</v>
      </c>
      <c r="N124" s="555">
        <f>SUM(N114:N123)</f>
        <v>13316516</v>
      </c>
      <c r="O124" s="555">
        <f>SUM(O114:O123)</f>
        <v>13659192</v>
      </c>
      <c r="P124" s="319">
        <f>SUM(P117:P123)</f>
        <v>13868412</v>
      </c>
      <c r="Q124" s="319">
        <f>SUM(Q117:Q123)</f>
        <v>13307781</v>
      </c>
      <c r="R124" s="319">
        <f>SUM(R117:R123)</f>
        <v>14132643</v>
      </c>
      <c r="S124" s="319">
        <f>SUM(S117:S123)</f>
        <v>14542993</v>
      </c>
      <c r="T124" s="319">
        <v>14399206</v>
      </c>
      <c r="U124" s="319">
        <v>14896477</v>
      </c>
      <c r="V124" s="319">
        <f>+[31]EEFF_TE_Bra!V126</f>
        <v>15601452</v>
      </c>
    </row>
    <row r="125" spans="1:22">
      <c r="B125" s="44" t="s">
        <v>735</v>
      </c>
      <c r="C125" s="576"/>
      <c r="D125" s="576"/>
      <c r="E125" s="576"/>
      <c r="F125" s="576"/>
      <c r="G125" s="576"/>
      <c r="H125" s="576"/>
      <c r="I125" s="576"/>
      <c r="J125" s="576"/>
      <c r="K125" s="576"/>
      <c r="L125" s="264">
        <v>1967288</v>
      </c>
      <c r="M125" s="264"/>
      <c r="N125" s="264"/>
      <c r="O125" s="264"/>
      <c r="P125" s="264">
        <v>371159</v>
      </c>
      <c r="Q125" s="264">
        <v>355926</v>
      </c>
      <c r="R125" s="264">
        <v>348109</v>
      </c>
      <c r="S125" s="264">
        <v>390121</v>
      </c>
      <c r="T125" s="264">
        <v>393529</v>
      </c>
      <c r="U125" s="264">
        <v>409853</v>
      </c>
      <c r="V125" s="264">
        <f>+[31]EEFF_TE_Bra!V127</f>
        <v>434085</v>
      </c>
    </row>
    <row r="126" spans="1:22">
      <c r="B126" s="257" t="s">
        <v>211</v>
      </c>
      <c r="C126" s="555">
        <f t="shared" ref="C126:K126" si="23">SUM(C124+C112+C96)</f>
        <v>15066333</v>
      </c>
      <c r="D126" s="555">
        <f t="shared" si="23"/>
        <v>17252173</v>
      </c>
      <c r="E126" s="555">
        <f t="shared" si="23"/>
        <v>17417558</v>
      </c>
      <c r="F126" s="555">
        <f t="shared" si="23"/>
        <v>17534705</v>
      </c>
      <c r="G126" s="555">
        <f t="shared" si="23"/>
        <v>18907128</v>
      </c>
      <c r="H126" s="555">
        <f t="shared" si="23"/>
        <v>18542224</v>
      </c>
      <c r="I126" s="555">
        <f t="shared" si="23"/>
        <v>19169401</v>
      </c>
      <c r="J126" s="555">
        <f t="shared" si="23"/>
        <v>19908537</v>
      </c>
      <c r="K126" s="555">
        <f t="shared" si="23"/>
        <v>20014346</v>
      </c>
      <c r="L126" s="319">
        <f>SUM(L124+L112+L96+L125)</f>
        <v>21599094</v>
      </c>
      <c r="M126" s="555">
        <f>SUM(M124+M112+M96)</f>
        <v>20731467</v>
      </c>
      <c r="N126" s="555">
        <f>SUM(N124+N112+N96)</f>
        <v>22431569</v>
      </c>
      <c r="O126" s="555">
        <f>SUM(O124+O112+O96)</f>
        <v>22168547</v>
      </c>
      <c r="P126" s="319">
        <f>SUM(P124+P112+P96+P125)</f>
        <v>24711531</v>
      </c>
      <c r="Q126" s="319">
        <f>SUM(Q124+Q112+Q96+Q125)</f>
        <v>26505399</v>
      </c>
      <c r="R126" s="319">
        <f>SUM(R124+R112+R96+R125)</f>
        <v>27869531</v>
      </c>
      <c r="S126" s="319">
        <f>SUM(S124+S112+S96+S125)</f>
        <v>28193896</v>
      </c>
      <c r="T126" s="319">
        <v>28976739</v>
      </c>
      <c r="U126" s="319">
        <v>30008395</v>
      </c>
      <c r="V126" s="319">
        <f>+[31]EEFF_TE_Bra!V128</f>
        <v>31193101</v>
      </c>
    </row>
    <row r="127" spans="1:22">
      <c r="C127" s="568">
        <f>+C126-C77</f>
        <v>-666.52381999976933</v>
      </c>
      <c r="D127" s="568">
        <f t="shared" ref="D127:R127" si="24">+D126-D77</f>
        <v>-0.11524000018835068</v>
      </c>
      <c r="E127" s="568">
        <f t="shared" si="24"/>
        <v>0</v>
      </c>
      <c r="F127" s="568">
        <f t="shared" si="24"/>
        <v>0</v>
      </c>
      <c r="G127" s="568">
        <f t="shared" si="24"/>
        <v>0</v>
      </c>
      <c r="H127" s="568">
        <f t="shared" si="24"/>
        <v>0</v>
      </c>
      <c r="I127" s="568">
        <f t="shared" si="24"/>
        <v>0</v>
      </c>
      <c r="J127" s="568">
        <f t="shared" si="24"/>
        <v>0</v>
      </c>
      <c r="K127" s="568">
        <f t="shared" si="24"/>
        <v>0</v>
      </c>
      <c r="L127" s="568">
        <f t="shared" si="24"/>
        <v>0</v>
      </c>
      <c r="M127" s="568">
        <f t="shared" si="24"/>
        <v>0</v>
      </c>
      <c r="N127" s="568">
        <f t="shared" si="24"/>
        <v>0</v>
      </c>
      <c r="O127" s="568">
        <f t="shared" si="24"/>
        <v>0</v>
      </c>
      <c r="P127" s="568">
        <f t="shared" si="24"/>
        <v>-1</v>
      </c>
      <c r="Q127" s="568">
        <f t="shared" si="24"/>
        <v>0</v>
      </c>
      <c r="R127" s="568">
        <f t="shared" si="24"/>
        <v>0</v>
      </c>
      <c r="S127" s="322"/>
    </row>
    <row r="128" spans="1:22" ht="15" customHeight="1">
      <c r="L128" s="547"/>
      <c r="P128" s="322"/>
      <c r="Q128" s="322"/>
      <c r="R128" s="322"/>
      <c r="S128" s="322"/>
    </row>
    <row r="129" spans="2:22" ht="15">
      <c r="B129" s="12" t="s">
        <v>212</v>
      </c>
      <c r="L129" s="547"/>
      <c r="P129" s="322"/>
      <c r="Q129" s="322"/>
      <c r="R129" s="322"/>
      <c r="S129" s="322"/>
    </row>
    <row r="130" spans="2:22" ht="15">
      <c r="B130" s="14" t="s">
        <v>129</v>
      </c>
      <c r="L130" s="547"/>
      <c r="P130" s="322"/>
      <c r="Q130" s="322"/>
      <c r="R130" s="322"/>
      <c r="S130" s="322"/>
    </row>
    <row r="131" spans="2:22" ht="14.5" customHeight="1">
      <c r="L131" s="547"/>
      <c r="P131" s="322"/>
      <c r="Q131" s="322"/>
      <c r="R131" s="322"/>
      <c r="S131" s="322"/>
    </row>
    <row r="132" spans="2:22">
      <c r="B132" s="764" t="s">
        <v>213</v>
      </c>
      <c r="C132" s="766" t="s">
        <v>130</v>
      </c>
      <c r="D132" s="766"/>
      <c r="E132" s="766"/>
      <c r="F132" s="766"/>
      <c r="G132" s="766"/>
      <c r="H132" s="766"/>
      <c r="I132" s="766"/>
      <c r="J132" s="766"/>
      <c r="K132" s="766"/>
      <c r="L132" s="766"/>
      <c r="M132" s="766"/>
      <c r="N132" s="766"/>
      <c r="O132" s="766"/>
      <c r="P132" s="766"/>
      <c r="Q132" s="548"/>
      <c r="R132" s="548"/>
      <c r="S132" s="602"/>
      <c r="T132" s="602"/>
      <c r="U132" s="544"/>
      <c r="V132" s="544"/>
    </row>
    <row r="133" spans="2:22">
      <c r="B133" s="764"/>
      <c r="C133" s="251">
        <v>2016</v>
      </c>
      <c r="D133" s="57">
        <v>2017</v>
      </c>
      <c r="E133" s="57" t="s">
        <v>131</v>
      </c>
      <c r="F133" s="57" t="s">
        <v>132</v>
      </c>
      <c r="G133" s="57" t="s">
        <v>133</v>
      </c>
      <c r="H133" s="57" t="s">
        <v>134</v>
      </c>
      <c r="I133" s="57" t="s">
        <v>135</v>
      </c>
      <c r="J133" s="57" t="s">
        <v>136</v>
      </c>
      <c r="K133" s="57" t="s">
        <v>137</v>
      </c>
      <c r="L133" s="416" t="s">
        <v>138</v>
      </c>
      <c r="M133" s="57" t="s">
        <v>139</v>
      </c>
      <c r="N133" s="57" t="s">
        <v>140</v>
      </c>
      <c r="O133" s="57" t="s">
        <v>141</v>
      </c>
      <c r="P133" s="549" t="s">
        <v>723</v>
      </c>
      <c r="Q133" s="549" t="s">
        <v>774</v>
      </c>
      <c r="R133" s="549" t="s">
        <v>914</v>
      </c>
      <c r="S133" s="549" t="s">
        <v>1058</v>
      </c>
      <c r="T133" s="549" t="s">
        <v>1083</v>
      </c>
      <c r="U133" s="549" t="s">
        <v>1131</v>
      </c>
      <c r="V133" s="549" t="s">
        <v>1238</v>
      </c>
    </row>
    <row r="134" spans="2:22">
      <c r="B134" s="44" t="s">
        <v>214</v>
      </c>
      <c r="C134" s="58">
        <v>1099482.87901</v>
      </c>
      <c r="D134" s="58">
        <v>2039364</v>
      </c>
      <c r="E134" s="58">
        <f t="shared" ref="E134:N134" si="25">SUM(E135:E136)</f>
        <v>834640</v>
      </c>
      <c r="F134" s="58">
        <f t="shared" si="25"/>
        <v>844171</v>
      </c>
      <c r="G134" s="58">
        <f t="shared" si="25"/>
        <v>716485</v>
      </c>
      <c r="H134" s="58">
        <f t="shared" si="25"/>
        <v>808236</v>
      </c>
      <c r="I134" s="58">
        <f t="shared" si="25"/>
        <v>806853</v>
      </c>
      <c r="J134" s="58">
        <f t="shared" si="25"/>
        <v>807586</v>
      </c>
      <c r="K134" s="58">
        <f t="shared" si="25"/>
        <v>782483</v>
      </c>
      <c r="L134" s="318">
        <f t="shared" si="25"/>
        <v>852480</v>
      </c>
      <c r="M134" s="58">
        <f t="shared" si="25"/>
        <v>851478</v>
      </c>
      <c r="N134" s="58">
        <f t="shared" si="25"/>
        <v>1700533</v>
      </c>
      <c r="O134" s="58">
        <f>SUM(O135:O136)</f>
        <v>956151</v>
      </c>
      <c r="P134" s="316">
        <f>P135+P136</f>
        <v>989357</v>
      </c>
      <c r="Q134" s="316">
        <f>Q135+Q136</f>
        <v>1000176</v>
      </c>
      <c r="R134" s="316">
        <v>922052.06234039995</v>
      </c>
      <c r="S134" s="264">
        <f t="shared" ref="S134:T134" si="26">S135+S136</f>
        <v>913149.23843959998</v>
      </c>
      <c r="T134" s="264">
        <f t="shared" si="26"/>
        <v>829950</v>
      </c>
      <c r="U134" s="264">
        <v>843349</v>
      </c>
      <c r="V134" s="264">
        <f>+[31]EEFF_TE_Bra!V136</f>
        <v>894435</v>
      </c>
    </row>
    <row r="135" spans="2:22">
      <c r="B135" s="44" t="s">
        <v>215</v>
      </c>
      <c r="C135" s="58">
        <v>1076083</v>
      </c>
      <c r="D135" s="58">
        <v>2013296</v>
      </c>
      <c r="E135" s="58">
        <v>827908</v>
      </c>
      <c r="F135" s="58">
        <v>837376</v>
      </c>
      <c r="G135" s="58">
        <v>709948</v>
      </c>
      <c r="H135" s="58">
        <v>801395</v>
      </c>
      <c r="I135" s="58">
        <v>799831</v>
      </c>
      <c r="J135" s="58">
        <v>800431</v>
      </c>
      <c r="K135" s="58">
        <v>772603</v>
      </c>
      <c r="L135" s="318">
        <v>844689</v>
      </c>
      <c r="M135" s="58">
        <v>843778</v>
      </c>
      <c r="N135" s="58">
        <v>1693051</v>
      </c>
      <c r="O135" s="58">
        <v>944448</v>
      </c>
      <c r="P135" s="341">
        <v>970710</v>
      </c>
      <c r="Q135" s="316">
        <v>991025</v>
      </c>
      <c r="R135" s="316">
        <v>898410</v>
      </c>
      <c r="S135" s="264">
        <v>896986</v>
      </c>
      <c r="T135" s="264">
        <v>820516</v>
      </c>
      <c r="U135" s="264">
        <v>838279</v>
      </c>
      <c r="V135" s="264">
        <f>+[31]EEFF_TE_Bra!V137</f>
        <v>886683</v>
      </c>
    </row>
    <row r="136" spans="2:22">
      <c r="B136" s="44" t="s">
        <v>180</v>
      </c>
      <c r="C136" s="58">
        <v>23399.879010000001</v>
      </c>
      <c r="D136" s="58">
        <v>26068</v>
      </c>
      <c r="E136" s="58">
        <v>6732</v>
      </c>
      <c r="F136" s="58">
        <v>6795</v>
      </c>
      <c r="G136" s="58">
        <v>6537</v>
      </c>
      <c r="H136" s="58">
        <v>6841</v>
      </c>
      <c r="I136" s="58">
        <v>7022</v>
      </c>
      <c r="J136" s="58">
        <v>7155</v>
      </c>
      <c r="K136" s="58">
        <v>9880</v>
      </c>
      <c r="L136" s="318">
        <v>7791</v>
      </c>
      <c r="M136" s="58">
        <v>7700</v>
      </c>
      <c r="N136" s="58">
        <v>7482</v>
      </c>
      <c r="O136" s="58">
        <v>11703</v>
      </c>
      <c r="P136" s="341">
        <v>18647</v>
      </c>
      <c r="Q136" s="316">
        <v>9151</v>
      </c>
      <c r="R136" s="316">
        <v>23642.062340399996</v>
      </c>
      <c r="S136" s="264">
        <v>16163.238439600005</v>
      </c>
      <c r="T136" s="264">
        <v>9434</v>
      </c>
      <c r="U136" s="264">
        <v>5070</v>
      </c>
      <c r="V136" s="264">
        <f>+[31]EEFF_TE_Bra!V138</f>
        <v>7752</v>
      </c>
    </row>
    <row r="137" spans="2:22">
      <c r="B137" s="44" t="s">
        <v>216</v>
      </c>
      <c r="C137" s="58">
        <v>-148298</v>
      </c>
      <c r="D137" s="58">
        <v>-261532</v>
      </c>
      <c r="E137" s="58">
        <v>-102316</v>
      </c>
      <c r="F137" s="58">
        <v>-104763</v>
      </c>
      <c r="G137" s="58">
        <v>-110622</v>
      </c>
      <c r="H137" s="58">
        <v>-118540</v>
      </c>
      <c r="I137" s="58">
        <v>-112689</v>
      </c>
      <c r="J137" s="58">
        <v>-115180</v>
      </c>
      <c r="K137" s="58">
        <v>-123950</v>
      </c>
      <c r="L137" s="318">
        <v>-123020</v>
      </c>
      <c r="M137" s="316">
        <v>-117137</v>
      </c>
      <c r="N137" s="58">
        <v>-203946</v>
      </c>
      <c r="O137" s="58">
        <v>-134892</v>
      </c>
      <c r="P137" s="316">
        <v>-150363</v>
      </c>
      <c r="Q137" s="316">
        <v>-147343</v>
      </c>
      <c r="R137" s="316">
        <v>-129734</v>
      </c>
      <c r="S137" s="264">
        <v>-154770</v>
      </c>
      <c r="T137" s="264">
        <v>-165237</v>
      </c>
      <c r="U137" s="264">
        <v>-127927</v>
      </c>
      <c r="V137" s="264">
        <f>+[31]EEFF_TE_Bra!V139</f>
        <v>-165237</v>
      </c>
    </row>
    <row r="138" spans="2:22">
      <c r="B138" s="253" t="s">
        <v>217</v>
      </c>
      <c r="C138" s="67">
        <f>SUM(C135:C137)</f>
        <v>951184.87901000003</v>
      </c>
      <c r="D138" s="67">
        <f>SUM(D135:D137)</f>
        <v>1777832</v>
      </c>
      <c r="E138" s="67">
        <f t="shared" ref="E138:P138" si="27">SUM(E135:E137)</f>
        <v>732324</v>
      </c>
      <c r="F138" s="67">
        <f t="shared" si="27"/>
        <v>739408</v>
      </c>
      <c r="G138" s="67">
        <f t="shared" si="27"/>
        <v>605863</v>
      </c>
      <c r="H138" s="67">
        <f t="shared" si="27"/>
        <v>689696</v>
      </c>
      <c r="I138" s="67">
        <f t="shared" si="27"/>
        <v>694164</v>
      </c>
      <c r="J138" s="67">
        <f t="shared" si="27"/>
        <v>692406</v>
      </c>
      <c r="K138" s="67">
        <f t="shared" si="27"/>
        <v>658533</v>
      </c>
      <c r="L138" s="545">
        <f t="shared" si="27"/>
        <v>729460</v>
      </c>
      <c r="M138" s="67">
        <f t="shared" si="27"/>
        <v>734341</v>
      </c>
      <c r="N138" s="67">
        <f t="shared" si="27"/>
        <v>1496587</v>
      </c>
      <c r="O138" s="67">
        <f t="shared" si="27"/>
        <v>821259</v>
      </c>
      <c r="P138" s="67">
        <f t="shared" si="27"/>
        <v>838994</v>
      </c>
      <c r="Q138" s="67">
        <f>SUM(Q135:Q137)</f>
        <v>852833</v>
      </c>
      <c r="R138" s="67">
        <f>SUM(R135:R137)</f>
        <v>792318.06234039995</v>
      </c>
      <c r="S138" s="603">
        <f>SUM(S135:S137)</f>
        <v>758379.23843959998</v>
      </c>
      <c r="T138" s="603">
        <f>SUM(T135:T137)</f>
        <v>664713</v>
      </c>
      <c r="U138" s="603">
        <v>715422</v>
      </c>
      <c r="V138" s="603">
        <f>+[31]EEFF_TE_Bra!V140</f>
        <v>729198</v>
      </c>
    </row>
    <row r="139" spans="2:22">
      <c r="B139" s="253" t="s">
        <v>218</v>
      </c>
      <c r="C139" s="67">
        <f>SUM(C140:C144)</f>
        <v>-528915.87901000003</v>
      </c>
      <c r="D139" s="67">
        <f t="shared" ref="D139:P139" si="28">SUM(D140:D144)</f>
        <v>-811211</v>
      </c>
      <c r="E139" s="67">
        <f>SUM(E140:E144)</f>
        <v>-259669</v>
      </c>
      <c r="F139" s="67">
        <f t="shared" si="28"/>
        <v>-266599.70914000017</v>
      </c>
      <c r="G139" s="67">
        <f t="shared" si="28"/>
        <v>-265301.68775999983</v>
      </c>
      <c r="H139" s="67">
        <f>SUM(H140:H144)</f>
        <v>-310723</v>
      </c>
      <c r="I139" s="67">
        <f t="shared" si="28"/>
        <v>-275211</v>
      </c>
      <c r="J139" s="67">
        <f t="shared" si="28"/>
        <v>-315199</v>
      </c>
      <c r="K139" s="67">
        <f t="shared" si="28"/>
        <v>-293376</v>
      </c>
      <c r="L139" s="545">
        <f t="shared" si="28"/>
        <v>-274963</v>
      </c>
      <c r="M139" s="67">
        <f>SUM(M140:M144)</f>
        <v>-270109</v>
      </c>
      <c r="N139" s="67">
        <f t="shared" si="28"/>
        <v>-266759</v>
      </c>
      <c r="O139" s="67">
        <f t="shared" si="28"/>
        <v>-279007</v>
      </c>
      <c r="P139" s="67">
        <f t="shared" si="28"/>
        <v>-335923</v>
      </c>
      <c r="Q139" s="67">
        <f>SUM(Q140:Q144)</f>
        <v>-279729</v>
      </c>
      <c r="R139" s="67">
        <f>SUM(R140:R144)</f>
        <v>-298611.75536040001</v>
      </c>
      <c r="S139" s="600">
        <f t="shared" ref="S139:T139" si="29">SUM(S140:S144)</f>
        <v>-297045.54541960004</v>
      </c>
      <c r="T139" s="600">
        <f t="shared" si="29"/>
        <v>-336565</v>
      </c>
      <c r="U139" s="600">
        <v>-308650</v>
      </c>
      <c r="V139" s="600">
        <f>+[31]EEFF_TE_Bra!V141</f>
        <v>-309209</v>
      </c>
    </row>
    <row r="140" spans="2:22">
      <c r="B140" s="44" t="s">
        <v>148</v>
      </c>
      <c r="C140" s="58">
        <v>-275181</v>
      </c>
      <c r="D140" s="58">
        <v>-302269</v>
      </c>
      <c r="E140" s="58">
        <v>-77724</v>
      </c>
      <c r="F140" s="58">
        <v>-79437.08490999999</v>
      </c>
      <c r="G140" s="58">
        <v>-79695.635910000012</v>
      </c>
      <c r="H140" s="58">
        <v>-84104</v>
      </c>
      <c r="I140" s="58">
        <v>-83116</v>
      </c>
      <c r="J140" s="58">
        <v>-86108</v>
      </c>
      <c r="K140" s="58">
        <v>-87512</v>
      </c>
      <c r="L140" s="318">
        <v>-79759</v>
      </c>
      <c r="M140" s="316">
        <v>-74866</v>
      </c>
      <c r="N140" s="58">
        <v>-75789</v>
      </c>
      <c r="O140" s="58">
        <v>-79077</v>
      </c>
      <c r="P140" s="316">
        <v>-96909</v>
      </c>
      <c r="Q140" s="316">
        <v>-91145</v>
      </c>
      <c r="R140" s="316">
        <v>-94312.440979999999</v>
      </c>
      <c r="S140" s="264">
        <v>-95299.559020000001</v>
      </c>
      <c r="T140" s="264">
        <v>-99790</v>
      </c>
      <c r="U140" s="264">
        <v>-98621</v>
      </c>
      <c r="V140" s="264">
        <f>+[31]EEFF_TE_Bra!V142</f>
        <v>-96848</v>
      </c>
    </row>
    <row r="141" spans="2:22">
      <c r="B141" s="44" t="s">
        <v>219</v>
      </c>
      <c r="C141" s="58">
        <v>-13746</v>
      </c>
      <c r="D141" s="58">
        <v>-13602</v>
      </c>
      <c r="E141" s="58">
        <v>-3016</v>
      </c>
      <c r="F141" s="58">
        <v>-3361.6449299999986</v>
      </c>
      <c r="G141" s="58">
        <v>-3472.1449000000016</v>
      </c>
      <c r="H141" s="58">
        <v>-5460</v>
      </c>
      <c r="I141" s="58">
        <v>-3151</v>
      </c>
      <c r="J141" s="58">
        <v>-3661</v>
      </c>
      <c r="K141" s="58">
        <v>-3935</v>
      </c>
      <c r="L141" s="318">
        <v>-3392</v>
      </c>
      <c r="M141" s="316">
        <v>-3005</v>
      </c>
      <c r="N141" s="58">
        <v>-3973</v>
      </c>
      <c r="O141" s="58">
        <v>-4052</v>
      </c>
      <c r="P141" s="316">
        <v>-7293</v>
      </c>
      <c r="Q141" s="316">
        <v>-3689</v>
      </c>
      <c r="R141" s="316">
        <v>-5354</v>
      </c>
      <c r="S141" s="264">
        <v>-3848</v>
      </c>
      <c r="T141" s="264">
        <v>-6073</v>
      </c>
      <c r="U141" s="264">
        <v>-4403</v>
      </c>
      <c r="V141" s="264">
        <f>+[31]EEFF_TE_Bra!V143</f>
        <v>-5419</v>
      </c>
    </row>
    <row r="142" spans="2:22">
      <c r="B142" s="44" t="s">
        <v>150</v>
      </c>
      <c r="C142" s="58">
        <v>-124276.87901</v>
      </c>
      <c r="D142" s="58">
        <v>-129992</v>
      </c>
      <c r="E142" s="58">
        <v>-27374</v>
      </c>
      <c r="F142" s="58">
        <v>-28499.908660000005</v>
      </c>
      <c r="G142" s="58">
        <v>-30424.873219999998</v>
      </c>
      <c r="H142" s="58">
        <v>-50225</v>
      </c>
      <c r="I142" s="58">
        <v>-26995</v>
      </c>
      <c r="J142" s="58">
        <v>-60163</v>
      </c>
      <c r="K142" s="58">
        <v>-38649</v>
      </c>
      <c r="L142" s="318">
        <v>-36223</v>
      </c>
      <c r="M142" s="316">
        <v>-30082</v>
      </c>
      <c r="N142" s="58">
        <v>-26967</v>
      </c>
      <c r="O142" s="58">
        <v>-31328</v>
      </c>
      <c r="P142" s="316">
        <v>-52321</v>
      </c>
      <c r="Q142" s="316">
        <v>-30613</v>
      </c>
      <c r="R142" s="316">
        <v>-32042.271390399997</v>
      </c>
      <c r="S142" s="264">
        <v>-33149.029389600008</v>
      </c>
      <c r="T142" s="264">
        <v>-58873</v>
      </c>
      <c r="U142" s="264">
        <v>-34775</v>
      </c>
      <c r="V142" s="264">
        <f>+[31]EEFF_TE_Bra!V144</f>
        <v>-39454</v>
      </c>
    </row>
    <row r="143" spans="2:22">
      <c r="B143" s="44" t="s">
        <v>151</v>
      </c>
      <c r="C143" s="58" t="s">
        <v>152</v>
      </c>
      <c r="D143" s="58">
        <v>-328174</v>
      </c>
      <c r="E143" s="58">
        <v>-145819</v>
      </c>
      <c r="F143" s="58">
        <v>-144676.13161000016</v>
      </c>
      <c r="G143" s="58">
        <v>-143519.27898999985</v>
      </c>
      <c r="H143" s="58">
        <v>-144958</v>
      </c>
      <c r="I143" s="58">
        <v>-144967</v>
      </c>
      <c r="J143" s="58">
        <v>-144568</v>
      </c>
      <c r="K143" s="58">
        <v>-143908</v>
      </c>
      <c r="L143" s="318">
        <v>-142114</v>
      </c>
      <c r="M143" s="316">
        <v>-140551</v>
      </c>
      <c r="N143" s="58">
        <v>-140231</v>
      </c>
      <c r="O143" s="58">
        <v>-139803</v>
      </c>
      <c r="P143" s="316">
        <v>-141730</v>
      </c>
      <c r="Q143" s="316">
        <v>-136891</v>
      </c>
      <c r="R143" s="316">
        <v>-148054.9228</v>
      </c>
      <c r="S143" s="264">
        <v>-144258.0772</v>
      </c>
      <c r="T143" s="264">
        <v>-149899</v>
      </c>
      <c r="U143" s="264">
        <v>-146994</v>
      </c>
      <c r="V143" s="264">
        <f>+[31]EEFF_TE_Bra!V145</f>
        <v>-147044</v>
      </c>
    </row>
    <row r="144" spans="2:22">
      <c r="B144" s="44" t="s">
        <v>180</v>
      </c>
      <c r="C144" s="58">
        <v>-115712</v>
      </c>
      <c r="D144" s="58">
        <v>-37174</v>
      </c>
      <c r="E144" s="58">
        <v>-5736</v>
      </c>
      <c r="F144" s="58">
        <v>-10624.939030000001</v>
      </c>
      <c r="G144" s="58">
        <v>-8189.7547399999985</v>
      </c>
      <c r="H144" s="58">
        <v>-25976</v>
      </c>
      <c r="I144" s="58">
        <v>-16982</v>
      </c>
      <c r="J144" s="58">
        <v>-20699</v>
      </c>
      <c r="K144" s="58">
        <v>-19372</v>
      </c>
      <c r="L144" s="318">
        <v>-13475</v>
      </c>
      <c r="M144" s="316">
        <v>-21605</v>
      </c>
      <c r="N144" s="58">
        <v>-19799</v>
      </c>
      <c r="O144" s="58">
        <v>-24747</v>
      </c>
      <c r="P144" s="316">
        <v>-37670</v>
      </c>
      <c r="Q144" s="316">
        <v>-17391</v>
      </c>
      <c r="R144" s="316">
        <v>-18848.120190000001</v>
      </c>
      <c r="S144" s="264">
        <v>-20490.879809999999</v>
      </c>
      <c r="T144" s="264">
        <v>-21930</v>
      </c>
      <c r="U144" s="264">
        <v>-23857</v>
      </c>
      <c r="V144" s="264">
        <f>+[31]EEFF_TE_Bra!V146</f>
        <v>-20444</v>
      </c>
    </row>
    <row r="145" spans="2:22">
      <c r="B145" s="253" t="s">
        <v>153</v>
      </c>
      <c r="C145" s="67">
        <f t="shared" ref="C145:T145" si="30">SUM(C138:C139)</f>
        <v>422269</v>
      </c>
      <c r="D145" s="67">
        <f t="shared" si="30"/>
        <v>966621</v>
      </c>
      <c r="E145" s="67">
        <f t="shared" si="30"/>
        <v>472655</v>
      </c>
      <c r="F145" s="67">
        <f t="shared" si="30"/>
        <v>472808.29085999983</v>
      </c>
      <c r="G145" s="67">
        <f t="shared" si="30"/>
        <v>340561.31224000017</v>
      </c>
      <c r="H145" s="67">
        <f t="shared" si="30"/>
        <v>378973</v>
      </c>
      <c r="I145" s="67">
        <f t="shared" si="30"/>
        <v>418953</v>
      </c>
      <c r="J145" s="67">
        <f t="shared" si="30"/>
        <v>377207</v>
      </c>
      <c r="K145" s="67">
        <f t="shared" si="30"/>
        <v>365157</v>
      </c>
      <c r="L145" s="545">
        <f t="shared" si="30"/>
        <v>454497</v>
      </c>
      <c r="M145" s="67">
        <f t="shared" si="30"/>
        <v>464232</v>
      </c>
      <c r="N145" s="67">
        <f t="shared" si="30"/>
        <v>1229828</v>
      </c>
      <c r="O145" s="67">
        <f t="shared" si="30"/>
        <v>542252</v>
      </c>
      <c r="P145" s="67">
        <f t="shared" si="30"/>
        <v>503071</v>
      </c>
      <c r="Q145" s="67">
        <f t="shared" si="30"/>
        <v>573104</v>
      </c>
      <c r="R145" s="67">
        <f t="shared" si="30"/>
        <v>493706.30697999994</v>
      </c>
      <c r="S145" s="603">
        <f t="shared" si="30"/>
        <v>461333.69301999995</v>
      </c>
      <c r="T145" s="603">
        <f t="shared" si="30"/>
        <v>328148</v>
      </c>
      <c r="U145" s="603">
        <v>406772</v>
      </c>
      <c r="V145" s="603">
        <f>+[31]EEFF_TE_Bra!V147</f>
        <v>419989</v>
      </c>
    </row>
    <row r="146" spans="2:22">
      <c r="B146" s="44" t="s">
        <v>220</v>
      </c>
      <c r="C146" s="58">
        <f>SUM(C147:C151)</f>
        <v>-109929</v>
      </c>
      <c r="D146" s="58">
        <f>SUM(D147:D151)</f>
        <v>-66216</v>
      </c>
      <c r="E146" s="58">
        <v>-35293</v>
      </c>
      <c r="F146" s="58">
        <f t="shared" ref="F146:Q146" si="31">SUM(F147:F151)</f>
        <v>-25692</v>
      </c>
      <c r="G146" s="58">
        <f t="shared" si="31"/>
        <v>-49331</v>
      </c>
      <c r="H146" s="58">
        <f t="shared" si="31"/>
        <v>-31898</v>
      </c>
      <c r="I146" s="58">
        <f t="shared" si="31"/>
        <v>-54493</v>
      </c>
      <c r="J146" s="58">
        <f t="shared" si="31"/>
        <v>-49190</v>
      </c>
      <c r="K146" s="58">
        <f t="shared" si="31"/>
        <v>-35369</v>
      </c>
      <c r="L146" s="318">
        <f t="shared" si="31"/>
        <v>-46970</v>
      </c>
      <c r="M146" s="316">
        <f t="shared" si="31"/>
        <v>-48618</v>
      </c>
      <c r="N146" s="58">
        <f t="shared" si="31"/>
        <v>-27897</v>
      </c>
      <c r="O146" s="58">
        <f t="shared" si="31"/>
        <v>-51135</v>
      </c>
      <c r="P146" s="58">
        <f t="shared" si="31"/>
        <v>-80333</v>
      </c>
      <c r="Q146" s="316">
        <f t="shared" si="31"/>
        <v>-116197</v>
      </c>
      <c r="R146" s="316">
        <v>-138431</v>
      </c>
      <c r="S146" s="264">
        <f t="shared" ref="S146:T146" si="32">SUM(S147:S151)</f>
        <v>-159706.97498</v>
      </c>
      <c r="T146" s="264">
        <f t="shared" si="32"/>
        <v>-215905</v>
      </c>
      <c r="U146" s="264">
        <v>-232100</v>
      </c>
      <c r="V146" s="264">
        <f>+[31]EEFF_TE_Bra!V148</f>
        <v>-301033</v>
      </c>
    </row>
    <row r="147" spans="2:22">
      <c r="B147" s="44" t="s">
        <v>221</v>
      </c>
      <c r="C147" s="58">
        <v>68032</v>
      </c>
      <c r="D147" s="58">
        <v>43907</v>
      </c>
      <c r="E147" s="58">
        <v>10886</v>
      </c>
      <c r="F147" s="58">
        <v>18347</v>
      </c>
      <c r="G147" s="58">
        <v>19329</v>
      </c>
      <c r="H147" s="58">
        <v>25950</v>
      </c>
      <c r="I147" s="58">
        <v>14183</v>
      </c>
      <c r="J147" s="58">
        <v>18601</v>
      </c>
      <c r="K147" s="58">
        <v>19911</v>
      </c>
      <c r="L147" s="318">
        <v>13050</v>
      </c>
      <c r="M147" s="316">
        <v>21983</v>
      </c>
      <c r="N147" s="58">
        <v>10446</v>
      </c>
      <c r="O147" s="58">
        <v>8539</v>
      </c>
      <c r="P147" s="316">
        <v>8279</v>
      </c>
      <c r="Q147" s="316">
        <v>9761</v>
      </c>
      <c r="R147" s="316">
        <v>15396</v>
      </c>
      <c r="S147" s="264">
        <v>15630.025020000001</v>
      </c>
      <c r="T147" s="264">
        <v>28321</v>
      </c>
      <c r="U147" s="264">
        <v>25064</v>
      </c>
      <c r="V147" s="264">
        <f>+[31]EEFF_TE_Bra!V149</f>
        <v>35116</v>
      </c>
    </row>
    <row r="148" spans="2:22">
      <c r="B148" s="44" t="s">
        <v>222</v>
      </c>
      <c r="C148" s="58">
        <v>-33902</v>
      </c>
      <c r="D148" s="58">
        <v>-31989</v>
      </c>
      <c r="E148" s="58">
        <v>-9620</v>
      </c>
      <c r="F148" s="58">
        <v>-6447</v>
      </c>
      <c r="G148" s="58">
        <v>-17390</v>
      </c>
      <c r="H148" s="58">
        <v>-10500</v>
      </c>
      <c r="I148" s="58">
        <v>-15154</v>
      </c>
      <c r="J148" s="58">
        <v>-17631</v>
      </c>
      <c r="K148" s="58">
        <v>-6225</v>
      </c>
      <c r="L148" s="318">
        <v>-7350</v>
      </c>
      <c r="M148" s="316">
        <v>-26159</v>
      </c>
      <c r="N148" s="58">
        <v>9032</v>
      </c>
      <c r="O148" s="58">
        <v>-15182</v>
      </c>
      <c r="P148" s="316">
        <v>-42342</v>
      </c>
      <c r="Q148" s="316">
        <v>-68620</v>
      </c>
      <c r="R148" s="316">
        <v>-70977</v>
      </c>
      <c r="S148" s="264">
        <v>-75290</v>
      </c>
      <c r="T148" s="264">
        <v>-118492</v>
      </c>
      <c r="U148" s="264">
        <v>-100473</v>
      </c>
      <c r="V148" s="264">
        <f>+[31]EEFF_TE_Bra!V150</f>
        <v>-167148</v>
      </c>
    </row>
    <row r="149" spans="2:22">
      <c r="B149" s="44" t="s">
        <v>223</v>
      </c>
      <c r="C149" s="58" t="s">
        <v>152</v>
      </c>
      <c r="D149" s="58">
        <v>-10483</v>
      </c>
      <c r="E149" s="58">
        <v>-580</v>
      </c>
      <c r="F149" s="58">
        <v>-580</v>
      </c>
      <c r="G149" s="58">
        <v>-599</v>
      </c>
      <c r="H149" s="58">
        <v>-554</v>
      </c>
      <c r="I149" s="58">
        <v>-205</v>
      </c>
      <c r="J149" s="58">
        <v>-622</v>
      </c>
      <c r="K149" s="58">
        <v>-626</v>
      </c>
      <c r="L149" s="318">
        <v>-667</v>
      </c>
      <c r="M149" s="316">
        <v>-418</v>
      </c>
      <c r="N149" s="58">
        <v>-656</v>
      </c>
      <c r="O149" s="58">
        <v>-613</v>
      </c>
      <c r="P149" s="316">
        <v>-622</v>
      </c>
      <c r="Q149" s="316">
        <v>908</v>
      </c>
      <c r="R149" s="316">
        <v>-126</v>
      </c>
      <c r="S149" s="264">
        <v>-5</v>
      </c>
      <c r="T149" s="264">
        <v>-156</v>
      </c>
      <c r="U149" s="264">
        <v>174</v>
      </c>
      <c r="V149" s="264">
        <f>+[31]EEFF_TE_Bra!V151</f>
        <v>-159</v>
      </c>
    </row>
    <row r="150" spans="2:22">
      <c r="B150" s="44" t="s">
        <v>158</v>
      </c>
      <c r="C150" s="58">
        <v>-143799</v>
      </c>
      <c r="D150" s="58">
        <v>-111504</v>
      </c>
      <c r="E150" s="58">
        <v>-31704</v>
      </c>
      <c r="F150" s="58">
        <v>-35052</v>
      </c>
      <c r="G150" s="58">
        <v>-40182</v>
      </c>
      <c r="H150" s="58">
        <v>-39491</v>
      </c>
      <c r="I150" s="58">
        <v>-36444</v>
      </c>
      <c r="J150" s="58">
        <v>-36441</v>
      </c>
      <c r="K150" s="58">
        <v>-36635</v>
      </c>
      <c r="L150" s="318">
        <v>-35479</v>
      </c>
      <c r="M150" s="316">
        <v>-36389</v>
      </c>
      <c r="N150" s="58">
        <v>-41007</v>
      </c>
      <c r="O150" s="58">
        <v>-43225</v>
      </c>
      <c r="P150" s="316">
        <v>-46314</v>
      </c>
      <c r="Q150" s="316">
        <v>-62773</v>
      </c>
      <c r="R150" s="316">
        <v>-79492</v>
      </c>
      <c r="S150" s="264">
        <v>-99434</v>
      </c>
      <c r="T150" s="264">
        <v>-124518</v>
      </c>
      <c r="U150" s="264">
        <v>-145881</v>
      </c>
      <c r="V150" s="264">
        <f>+[31]EEFF_TE_Bra!V152</f>
        <v>-169088</v>
      </c>
    </row>
    <row r="151" spans="2:22">
      <c r="B151" s="44" t="s">
        <v>180</v>
      </c>
      <c r="C151" s="58">
        <v>-260</v>
      </c>
      <c r="D151" s="58">
        <v>43853</v>
      </c>
      <c r="E151" s="58">
        <v>-4275</v>
      </c>
      <c r="F151" s="58">
        <v>-1960</v>
      </c>
      <c r="G151" s="58">
        <v>-10489</v>
      </c>
      <c r="H151" s="58">
        <v>-7303</v>
      </c>
      <c r="I151" s="58">
        <v>-16873</v>
      </c>
      <c r="J151" s="58">
        <v>-13097</v>
      </c>
      <c r="K151" s="58">
        <v>-11794</v>
      </c>
      <c r="L151" s="318">
        <v>-16524</v>
      </c>
      <c r="M151" s="316">
        <v>-7635</v>
      </c>
      <c r="N151" s="58">
        <v>-5712</v>
      </c>
      <c r="O151" s="58">
        <v>-654</v>
      </c>
      <c r="P151" s="316">
        <v>666</v>
      </c>
      <c r="Q151" s="316">
        <v>4527</v>
      </c>
      <c r="R151" s="316">
        <v>-3232</v>
      </c>
      <c r="S151" s="264">
        <v>-608</v>
      </c>
      <c r="T151" s="264">
        <v>-1060</v>
      </c>
      <c r="U151" s="264">
        <v>-10984</v>
      </c>
      <c r="V151" s="264">
        <f>+[31]EEFF_TE_Bra!V153</f>
        <v>246</v>
      </c>
    </row>
    <row r="152" spans="2:22">
      <c r="B152" s="253" t="s">
        <v>224</v>
      </c>
      <c r="C152" s="67">
        <f t="shared" ref="C152:P152" si="33">SUM(C145:C146)</f>
        <v>312340</v>
      </c>
      <c r="D152" s="67">
        <f t="shared" si="33"/>
        <v>900405</v>
      </c>
      <c r="E152" s="67">
        <f t="shared" si="33"/>
        <v>437362</v>
      </c>
      <c r="F152" s="67">
        <f t="shared" si="33"/>
        <v>447116.29085999983</v>
      </c>
      <c r="G152" s="67">
        <f t="shared" si="33"/>
        <v>291230.31224000017</v>
      </c>
      <c r="H152" s="67">
        <f t="shared" si="33"/>
        <v>347075</v>
      </c>
      <c r="I152" s="67">
        <f t="shared" si="33"/>
        <v>364460</v>
      </c>
      <c r="J152" s="67">
        <f t="shared" si="33"/>
        <v>328017</v>
      </c>
      <c r="K152" s="67">
        <f t="shared" si="33"/>
        <v>329788</v>
      </c>
      <c r="L152" s="545">
        <f t="shared" si="33"/>
        <v>407527</v>
      </c>
      <c r="M152" s="67">
        <f t="shared" si="33"/>
        <v>415614</v>
      </c>
      <c r="N152" s="67">
        <f t="shared" si="33"/>
        <v>1201931</v>
      </c>
      <c r="O152" s="67">
        <f t="shared" si="33"/>
        <v>491117</v>
      </c>
      <c r="P152" s="67">
        <f t="shared" si="33"/>
        <v>422738</v>
      </c>
      <c r="Q152" s="67">
        <f>SUM(Q145:Q146)</f>
        <v>456907</v>
      </c>
      <c r="R152" s="67">
        <f>SUM(R145:R146)</f>
        <v>355275.30697999994</v>
      </c>
      <c r="S152" s="600">
        <f t="shared" ref="S152:T152" si="34">SUM(S145:S146)</f>
        <v>301626.71803999995</v>
      </c>
      <c r="T152" s="600">
        <f t="shared" si="34"/>
        <v>112243</v>
      </c>
      <c r="U152" s="600">
        <v>174672</v>
      </c>
      <c r="V152" s="600">
        <f>+[31]EEFF_TE_Bra!V154</f>
        <v>118956</v>
      </c>
    </row>
    <row r="153" spans="2:22">
      <c r="B153" s="44" t="s">
        <v>225</v>
      </c>
      <c r="C153" s="58">
        <v>30152</v>
      </c>
      <c r="D153" s="58">
        <v>18271</v>
      </c>
      <c r="E153" s="58">
        <v>19347</v>
      </c>
      <c r="F153" s="58">
        <v>22431</v>
      </c>
      <c r="G153" s="58">
        <v>-2887</v>
      </c>
      <c r="H153" s="58">
        <v>7270</v>
      </c>
      <c r="I153" s="58">
        <v>16244</v>
      </c>
      <c r="J153" s="58">
        <v>10141</v>
      </c>
      <c r="K153" s="58">
        <v>16972</v>
      </c>
      <c r="L153" s="318">
        <v>26543</v>
      </c>
      <c r="M153" s="58">
        <v>20314</v>
      </c>
      <c r="N153" s="58">
        <v>-63930</v>
      </c>
      <c r="O153" s="58">
        <v>16039</v>
      </c>
      <c r="P153" s="316">
        <v>-32857</v>
      </c>
      <c r="Q153" s="316">
        <v>1214</v>
      </c>
      <c r="R153" s="316">
        <v>11200.693020000006</v>
      </c>
      <c r="S153" s="264">
        <v>1875.5947400000005</v>
      </c>
      <c r="T153" s="264">
        <v>-2491</v>
      </c>
      <c r="U153" s="264">
        <v>8123</v>
      </c>
      <c r="V153" s="264">
        <f>+[31]EEFF_TE_Bra!V155</f>
        <v>4148</v>
      </c>
    </row>
    <row r="154" spans="2:22">
      <c r="B154" s="44" t="s">
        <v>226</v>
      </c>
      <c r="C154" s="58">
        <v>-26947</v>
      </c>
      <c r="D154" s="58">
        <v>35451</v>
      </c>
      <c r="E154" s="58">
        <v>4747</v>
      </c>
      <c r="F154" s="58">
        <v>-564</v>
      </c>
      <c r="G154" s="58">
        <v>-3244</v>
      </c>
      <c r="H154" s="58">
        <v>-6993</v>
      </c>
      <c r="I154" s="58">
        <v>-9562</v>
      </c>
      <c r="J154" s="58">
        <v>325</v>
      </c>
      <c r="K154" s="58">
        <v>589</v>
      </c>
      <c r="L154" s="318">
        <v>-1136</v>
      </c>
      <c r="M154" s="316">
        <v>-10187</v>
      </c>
      <c r="N154" s="58">
        <v>145268</v>
      </c>
      <c r="O154" s="58">
        <v>-13848</v>
      </c>
      <c r="P154" s="316">
        <v>-10641</v>
      </c>
      <c r="Q154" s="316">
        <v>-13717</v>
      </c>
      <c r="R154" s="316">
        <v>-11786</v>
      </c>
      <c r="S154" s="264">
        <v>-38996.287760000007</v>
      </c>
      <c r="T154" s="264">
        <v>-15245</v>
      </c>
      <c r="U154" s="264">
        <v>-21804</v>
      </c>
      <c r="V154" s="264">
        <f>+[31]EEFF_TE_Bra!V156</f>
        <v>-15737</v>
      </c>
    </row>
    <row r="155" spans="2:22">
      <c r="B155" s="253" t="s">
        <v>227</v>
      </c>
      <c r="C155" s="67">
        <f>SUM(C152:C154)</f>
        <v>315545</v>
      </c>
      <c r="D155" s="67">
        <f>SUM(D152:D154)</f>
        <v>954127</v>
      </c>
      <c r="E155" s="67">
        <f t="shared" ref="E155:P155" si="35">SUM(E152:E154)</f>
        <v>461456</v>
      </c>
      <c r="F155" s="67">
        <f t="shared" si="35"/>
        <v>468983.29085999983</v>
      </c>
      <c r="G155" s="67">
        <f t="shared" si="35"/>
        <v>285099.31224000017</v>
      </c>
      <c r="H155" s="67">
        <f t="shared" si="35"/>
        <v>347352</v>
      </c>
      <c r="I155" s="67">
        <f t="shared" si="35"/>
        <v>371142</v>
      </c>
      <c r="J155" s="67">
        <f t="shared" si="35"/>
        <v>338483</v>
      </c>
      <c r="K155" s="67">
        <f t="shared" si="35"/>
        <v>347349</v>
      </c>
      <c r="L155" s="545">
        <f t="shared" si="35"/>
        <v>432934</v>
      </c>
      <c r="M155" s="67">
        <f t="shared" si="35"/>
        <v>425741</v>
      </c>
      <c r="N155" s="67">
        <f t="shared" si="35"/>
        <v>1283269</v>
      </c>
      <c r="O155" s="67">
        <f t="shared" si="35"/>
        <v>493308</v>
      </c>
      <c r="P155" s="67">
        <f t="shared" si="35"/>
        <v>379240</v>
      </c>
      <c r="Q155" s="67">
        <f>SUM(Q152:Q154)</f>
        <v>444404</v>
      </c>
      <c r="R155" s="67">
        <f>SUM(R152:R154)</f>
        <v>354689.99999999994</v>
      </c>
      <c r="S155" s="600">
        <f t="shared" ref="S155:T155" si="36">SUM(S152:S154)</f>
        <v>264506.02501999994</v>
      </c>
      <c r="T155" s="600">
        <f t="shared" si="36"/>
        <v>94507</v>
      </c>
      <c r="U155" s="600">
        <v>160991</v>
      </c>
      <c r="V155" s="600">
        <f>+[31]EEFF_TE_Bra!V157</f>
        <v>107367</v>
      </c>
    </row>
    <row r="156" spans="2:22">
      <c r="B156" s="44" t="s">
        <v>228</v>
      </c>
      <c r="C156" s="58">
        <f>SUM(C157:C158)</f>
        <v>-69738</v>
      </c>
      <c r="D156" s="58">
        <f>SUM(D157:D158)</f>
        <v>-318705</v>
      </c>
      <c r="E156" s="58">
        <f t="shared" ref="E156:Q156" si="37">SUM(E157:E158)</f>
        <v>-156193</v>
      </c>
      <c r="F156" s="58">
        <f t="shared" si="37"/>
        <v>-126633</v>
      </c>
      <c r="G156" s="58">
        <f t="shared" si="37"/>
        <v>-93561</v>
      </c>
      <c r="H156" s="58">
        <f t="shared" si="37"/>
        <v>103386</v>
      </c>
      <c r="I156" s="58">
        <f t="shared" si="37"/>
        <v>-137075</v>
      </c>
      <c r="J156" s="58">
        <f t="shared" si="37"/>
        <v>-98143</v>
      </c>
      <c r="K156" s="58">
        <f t="shared" si="37"/>
        <v>67263</v>
      </c>
      <c r="L156" s="318">
        <f t="shared" si="37"/>
        <v>-83303</v>
      </c>
      <c r="M156" s="316">
        <f t="shared" si="37"/>
        <v>-103852</v>
      </c>
      <c r="N156" s="58">
        <f t="shared" si="37"/>
        <v>-362502</v>
      </c>
      <c r="O156" s="58">
        <f t="shared" si="37"/>
        <v>-90608</v>
      </c>
      <c r="P156" s="58">
        <f t="shared" si="37"/>
        <v>-2956</v>
      </c>
      <c r="Q156" s="316">
        <f t="shared" si="37"/>
        <v>-134410</v>
      </c>
      <c r="R156" s="316">
        <v>-103181</v>
      </c>
      <c r="S156" s="264">
        <f t="shared" ref="S156:T156" si="38">SUM(S157:S158)</f>
        <v>-71206</v>
      </c>
      <c r="T156" s="264">
        <f t="shared" si="38"/>
        <v>47469</v>
      </c>
      <c r="U156" s="264">
        <v>-38365</v>
      </c>
      <c r="V156" s="264">
        <f>+[31]EEFF_TE_Bra!V158</f>
        <v>-23507</v>
      </c>
    </row>
    <row r="157" spans="2:22">
      <c r="B157" s="44" t="s">
        <v>164</v>
      </c>
      <c r="C157" s="58">
        <v>-79299</v>
      </c>
      <c r="D157" s="58">
        <v>-354491</v>
      </c>
      <c r="E157" s="58">
        <v>-176614</v>
      </c>
      <c r="F157" s="58">
        <v>-167891</v>
      </c>
      <c r="G157" s="58">
        <v>-152616</v>
      </c>
      <c r="H157" s="58">
        <v>89697</v>
      </c>
      <c r="I157" s="58">
        <v>-114844</v>
      </c>
      <c r="J157" s="58">
        <v>-132273</v>
      </c>
      <c r="K157" s="58">
        <v>4830</v>
      </c>
      <c r="L157" s="318">
        <v>-34509</v>
      </c>
      <c r="M157" s="316">
        <v>-77594</v>
      </c>
      <c r="N157" s="58">
        <v>-69687</v>
      </c>
      <c r="O157" s="58">
        <v>-234607</v>
      </c>
      <c r="P157" s="316">
        <v>-34067</v>
      </c>
      <c r="Q157" s="316">
        <v>-210719</v>
      </c>
      <c r="R157" s="316">
        <v>-141652</v>
      </c>
      <c r="S157" s="264">
        <v>-95938</v>
      </c>
      <c r="T157" s="264">
        <v>139392</v>
      </c>
      <c r="U157" s="264">
        <v>-39983</v>
      </c>
      <c r="V157" s="264">
        <f>+[31]EEFF_TE_Bra!V159</f>
        <v>-24828</v>
      </c>
    </row>
    <row r="158" spans="2:22">
      <c r="B158" s="44" t="s">
        <v>165</v>
      </c>
      <c r="C158" s="58">
        <v>9561</v>
      </c>
      <c r="D158" s="58">
        <v>35786</v>
      </c>
      <c r="E158" s="58">
        <v>20421</v>
      </c>
      <c r="F158" s="58">
        <v>41258</v>
      </c>
      <c r="G158" s="58">
        <v>59055</v>
      </c>
      <c r="H158" s="58">
        <v>13689</v>
      </c>
      <c r="I158" s="58">
        <v>-22231</v>
      </c>
      <c r="J158" s="58">
        <v>34130</v>
      </c>
      <c r="K158" s="58">
        <v>62433</v>
      </c>
      <c r="L158" s="318">
        <v>-48794</v>
      </c>
      <c r="M158" s="316">
        <v>-26258</v>
      </c>
      <c r="N158" s="58">
        <v>-292815</v>
      </c>
      <c r="O158" s="58">
        <v>143999</v>
      </c>
      <c r="P158" s="316">
        <v>31111</v>
      </c>
      <c r="Q158" s="316">
        <v>76309</v>
      </c>
      <c r="R158" s="316">
        <v>38471</v>
      </c>
      <c r="S158" s="264">
        <v>24732</v>
      </c>
      <c r="T158" s="264">
        <v>-91923</v>
      </c>
      <c r="U158" s="264">
        <v>1618</v>
      </c>
      <c r="V158" s="264">
        <f>+[31]EEFF_TE_Bra!V160</f>
        <v>1321</v>
      </c>
    </row>
    <row r="159" spans="2:22" ht="28.5">
      <c r="B159" s="262" t="s">
        <v>229</v>
      </c>
      <c r="C159" s="67">
        <f>SUM(C155:C156)</f>
        <v>245807</v>
      </c>
      <c r="D159" s="67">
        <f>SUM(D155:D156)</f>
        <v>635422</v>
      </c>
      <c r="E159" s="67">
        <f t="shared" ref="E159:R159" si="39">SUM(E155:E156)</f>
        <v>305263</v>
      </c>
      <c r="F159" s="67">
        <f t="shared" si="39"/>
        <v>342350.29085999983</v>
      </c>
      <c r="G159" s="67">
        <f t="shared" si="39"/>
        <v>191538.31224000017</v>
      </c>
      <c r="H159" s="67">
        <f t="shared" si="39"/>
        <v>450738</v>
      </c>
      <c r="I159" s="67">
        <f t="shared" si="39"/>
        <v>234067</v>
      </c>
      <c r="J159" s="67">
        <f t="shared" si="39"/>
        <v>240340</v>
      </c>
      <c r="K159" s="67">
        <f t="shared" si="39"/>
        <v>414612</v>
      </c>
      <c r="L159" s="545">
        <f t="shared" si="39"/>
        <v>349631</v>
      </c>
      <c r="M159" s="67">
        <f t="shared" si="39"/>
        <v>321889</v>
      </c>
      <c r="N159" s="67">
        <f t="shared" si="39"/>
        <v>920767</v>
      </c>
      <c r="O159" s="67">
        <f t="shared" si="39"/>
        <v>402700</v>
      </c>
      <c r="P159" s="67">
        <f t="shared" si="39"/>
        <v>376284</v>
      </c>
      <c r="Q159" s="67">
        <f t="shared" si="39"/>
        <v>309994</v>
      </c>
      <c r="R159" s="67">
        <f t="shared" si="39"/>
        <v>251508.99999999994</v>
      </c>
      <c r="S159" s="603">
        <v>193300.02501999994</v>
      </c>
      <c r="T159" s="603">
        <f t="shared" ref="T159" si="40">SUM(T155:T156)</f>
        <v>141976</v>
      </c>
      <c r="U159" s="603">
        <v>122626</v>
      </c>
      <c r="V159" s="603">
        <f>+[31]EEFF_TE_Bra!V161</f>
        <v>83860</v>
      </c>
    </row>
    <row r="160" spans="2:22">
      <c r="B160" s="44" t="s">
        <v>230</v>
      </c>
      <c r="C160" s="58">
        <v>-17022</v>
      </c>
      <c r="D160" s="58">
        <v>-19947.994313528299</v>
      </c>
      <c r="E160" s="58">
        <v>-3460</v>
      </c>
      <c r="F160" s="58">
        <v>-3285</v>
      </c>
      <c r="G160" s="58">
        <v>-3419</v>
      </c>
      <c r="H160" s="58">
        <v>-3413</v>
      </c>
      <c r="I160" s="58">
        <v>-3879</v>
      </c>
      <c r="J160" s="58">
        <v>-4367</v>
      </c>
      <c r="K160" s="58">
        <v>-4342</v>
      </c>
      <c r="L160" s="318">
        <v>-4232</v>
      </c>
      <c r="M160" s="316">
        <v>-15497</v>
      </c>
      <c r="N160" s="58">
        <v>-1667</v>
      </c>
      <c r="O160" s="58">
        <v>-2143</v>
      </c>
      <c r="P160" s="316">
        <v>-1840</v>
      </c>
      <c r="Q160" s="316">
        <v>-1855</v>
      </c>
      <c r="R160" s="316">
        <v>-3411</v>
      </c>
      <c r="S160" s="264">
        <v>-5329</v>
      </c>
      <c r="T160" s="264">
        <v>-8614</v>
      </c>
      <c r="U160" s="264">
        <v>-10096</v>
      </c>
      <c r="V160" s="264">
        <f>+[31]EEFF_TE_Bra!V162</f>
        <v>-13471</v>
      </c>
    </row>
    <row r="161" spans="2:22">
      <c r="B161" s="253" t="s">
        <v>231</v>
      </c>
      <c r="C161" s="67">
        <f>SUM(C159:C160)</f>
        <v>228785</v>
      </c>
      <c r="D161" s="67">
        <f t="shared" ref="D161:T161" si="41">SUM(D159:D160)</f>
        <v>615474.0056864717</v>
      </c>
      <c r="E161" s="67">
        <f t="shared" si="41"/>
        <v>301803</v>
      </c>
      <c r="F161" s="67">
        <f t="shared" si="41"/>
        <v>339065.29085999983</v>
      </c>
      <c r="G161" s="67">
        <f t="shared" si="41"/>
        <v>188119.31224000017</v>
      </c>
      <c r="H161" s="67">
        <f t="shared" si="41"/>
        <v>447325</v>
      </c>
      <c r="I161" s="67">
        <f t="shared" si="41"/>
        <v>230188</v>
      </c>
      <c r="J161" s="67">
        <f t="shared" si="41"/>
        <v>235973</v>
      </c>
      <c r="K161" s="67">
        <f t="shared" si="41"/>
        <v>410270</v>
      </c>
      <c r="L161" s="545">
        <f t="shared" si="41"/>
        <v>345399</v>
      </c>
      <c r="M161" s="67">
        <f t="shared" si="41"/>
        <v>306392</v>
      </c>
      <c r="N161" s="67">
        <f t="shared" si="41"/>
        <v>919100</v>
      </c>
      <c r="O161" s="67">
        <f t="shared" si="41"/>
        <v>400557</v>
      </c>
      <c r="P161" s="67">
        <f t="shared" si="41"/>
        <v>374444</v>
      </c>
      <c r="Q161" s="67">
        <f t="shared" si="41"/>
        <v>308139</v>
      </c>
      <c r="R161" s="67">
        <f t="shared" si="41"/>
        <v>248097.99999999994</v>
      </c>
      <c r="S161" s="603">
        <f t="shared" si="41"/>
        <v>187971.02501999994</v>
      </c>
      <c r="T161" s="603">
        <f t="shared" si="41"/>
        <v>133362</v>
      </c>
      <c r="U161" s="603">
        <v>112530</v>
      </c>
      <c r="V161" s="603">
        <f>+[31]EEFF_TE_Bra!V163</f>
        <v>70389</v>
      </c>
    </row>
    <row r="162" spans="2:22">
      <c r="B162" s="252"/>
      <c r="C162" s="254"/>
      <c r="D162" s="254"/>
      <c r="E162" s="254"/>
      <c r="F162" s="254"/>
      <c r="G162" s="254"/>
      <c r="H162" s="254"/>
      <c r="I162" s="254"/>
      <c r="J162" s="254"/>
      <c r="K162" s="254"/>
      <c r="L162" s="546"/>
      <c r="M162" s="254"/>
      <c r="N162" s="254"/>
      <c r="O162" s="254"/>
      <c r="P162" s="317"/>
      <c r="Q162" s="317"/>
      <c r="R162" s="317"/>
      <c r="S162" s="317"/>
    </row>
    <row r="163" spans="2:22">
      <c r="L163" s="547"/>
      <c r="P163" s="322"/>
      <c r="Q163" s="322"/>
      <c r="R163" s="322"/>
      <c r="S163" s="322"/>
    </row>
    <row r="164" spans="2:22" ht="15">
      <c r="B164" s="12" t="s">
        <v>232</v>
      </c>
      <c r="L164" s="547"/>
      <c r="P164" s="322"/>
      <c r="Q164" s="322"/>
      <c r="R164" s="322"/>
      <c r="S164" s="322"/>
    </row>
    <row r="165" spans="2:22" ht="15">
      <c r="B165" s="14" t="s">
        <v>129</v>
      </c>
      <c r="L165" s="547"/>
      <c r="P165" s="322"/>
      <c r="Q165" s="322"/>
      <c r="R165" s="322"/>
      <c r="S165" s="322"/>
    </row>
    <row r="166" spans="2:22">
      <c r="L166" s="547"/>
      <c r="P166" s="322"/>
      <c r="Q166" s="322"/>
      <c r="R166" s="322"/>
      <c r="S166" s="322"/>
    </row>
    <row r="167" spans="2:22">
      <c r="B167" s="765" t="s">
        <v>233</v>
      </c>
      <c r="C167" s="766" t="s">
        <v>130</v>
      </c>
      <c r="D167" s="766"/>
      <c r="E167" s="766"/>
      <c r="F167" s="766"/>
      <c r="G167" s="766"/>
      <c r="H167" s="766"/>
      <c r="I167" s="766"/>
      <c r="J167" s="766"/>
      <c r="K167" s="766"/>
      <c r="L167" s="766"/>
      <c r="M167" s="766"/>
      <c r="N167" s="766"/>
      <c r="O167" s="766"/>
      <c r="P167" s="766"/>
      <c r="Q167" s="548"/>
      <c r="R167" s="548"/>
      <c r="S167" s="602"/>
      <c r="T167" s="602"/>
      <c r="U167" s="544"/>
      <c r="V167" s="544"/>
    </row>
    <row r="168" spans="2:22">
      <c r="B168" s="765"/>
      <c r="C168" s="251">
        <v>2016</v>
      </c>
      <c r="D168" s="57">
        <v>2017</v>
      </c>
      <c r="E168" s="57" t="s">
        <v>131</v>
      </c>
      <c r="F168" s="57" t="s">
        <v>132</v>
      </c>
      <c r="G168" s="57" t="s">
        <v>133</v>
      </c>
      <c r="H168" s="57" t="s">
        <v>134</v>
      </c>
      <c r="I168" s="57" t="s">
        <v>135</v>
      </c>
      <c r="J168" s="57" t="s">
        <v>136</v>
      </c>
      <c r="K168" s="57" t="s">
        <v>137</v>
      </c>
      <c r="L168" s="416" t="s">
        <v>138</v>
      </c>
      <c r="M168" s="57" t="s">
        <v>139</v>
      </c>
      <c r="N168" s="57" t="s">
        <v>140</v>
      </c>
      <c r="O168" s="57" t="s">
        <v>141</v>
      </c>
      <c r="P168" s="549" t="s">
        <v>723</v>
      </c>
      <c r="Q168" s="549" t="s">
        <v>774</v>
      </c>
      <c r="R168" s="549" t="s">
        <v>914</v>
      </c>
      <c r="S168" s="549" t="s">
        <v>1058</v>
      </c>
      <c r="T168" s="549" t="s">
        <v>1083</v>
      </c>
      <c r="U168" s="549" t="s">
        <v>1131</v>
      </c>
      <c r="V168" s="549" t="s">
        <v>1238</v>
      </c>
    </row>
    <row r="169" spans="2:22">
      <c r="B169" s="259" t="s">
        <v>234</v>
      </c>
      <c r="C169" s="59"/>
      <c r="D169" s="59"/>
      <c r="E169" s="59"/>
      <c r="F169" s="259"/>
      <c r="G169" s="59"/>
      <c r="H169" s="59"/>
      <c r="I169" s="59"/>
      <c r="J169" s="59"/>
      <c r="K169" s="59"/>
      <c r="L169" s="551"/>
      <c r="M169" s="59"/>
      <c r="N169" s="59"/>
      <c r="O169" s="59"/>
      <c r="P169" s="320"/>
      <c r="Q169" s="320"/>
      <c r="R169" s="320"/>
      <c r="S169" s="320"/>
      <c r="T169" s="320"/>
      <c r="U169" s="320"/>
      <c r="V169" s="320"/>
    </row>
    <row r="170" spans="2:22">
      <c r="B170" s="44" t="s">
        <v>235</v>
      </c>
      <c r="C170" s="58">
        <v>4524</v>
      </c>
      <c r="D170" s="58">
        <v>6585</v>
      </c>
      <c r="E170" s="58">
        <v>11749</v>
      </c>
      <c r="F170" s="58">
        <v>7059</v>
      </c>
      <c r="G170" s="58">
        <v>12736</v>
      </c>
      <c r="H170" s="58">
        <v>16740</v>
      </c>
      <c r="I170" s="58">
        <v>17968</v>
      </c>
      <c r="J170" s="58">
        <v>14039</v>
      </c>
      <c r="K170" s="58">
        <v>7110</v>
      </c>
      <c r="L170" s="318">
        <v>595971</v>
      </c>
      <c r="M170" s="58">
        <v>757278</v>
      </c>
      <c r="N170" s="58">
        <v>1320153</v>
      </c>
      <c r="O170" s="58">
        <v>799542</v>
      </c>
      <c r="P170" s="316">
        <v>2067337</v>
      </c>
      <c r="Q170" s="316">
        <v>853688</v>
      </c>
      <c r="R170" s="316">
        <v>1090994</v>
      </c>
      <c r="S170" s="316">
        <v>231301</v>
      </c>
      <c r="T170" s="316">
        <v>282632</v>
      </c>
      <c r="U170" s="316">
        <v>316445</v>
      </c>
      <c r="V170" s="316">
        <f>+[31]EEFF_TE_Bra!V172</f>
        <v>220960</v>
      </c>
    </row>
    <row r="171" spans="2:22">
      <c r="B171" s="44" t="s">
        <v>173</v>
      </c>
      <c r="C171" s="58">
        <v>336138</v>
      </c>
      <c r="D171" s="58">
        <v>610066</v>
      </c>
      <c r="E171" s="58">
        <v>716226</v>
      </c>
      <c r="F171" s="58">
        <v>843828</v>
      </c>
      <c r="G171" s="58">
        <v>1591227</v>
      </c>
      <c r="H171" s="58">
        <v>680909</v>
      </c>
      <c r="I171" s="58">
        <v>1087284</v>
      </c>
      <c r="J171" s="58">
        <v>1330308</v>
      </c>
      <c r="K171" s="58">
        <v>1197427</v>
      </c>
      <c r="L171" s="318">
        <v>2068611</v>
      </c>
      <c r="M171" s="58">
        <v>511984</v>
      </c>
      <c r="N171" s="58">
        <v>565480</v>
      </c>
      <c r="O171" s="58">
        <v>541218</v>
      </c>
      <c r="P171" s="316">
        <v>453557</v>
      </c>
      <c r="Q171" s="316">
        <v>469733</v>
      </c>
      <c r="R171" s="316">
        <v>724512</v>
      </c>
      <c r="S171" s="316">
        <v>976156</v>
      </c>
      <c r="T171" s="316">
        <v>813634</v>
      </c>
      <c r="U171" s="316">
        <v>882793</v>
      </c>
      <c r="V171" s="316">
        <f>+[31]EEFF_TE_Bra!V173</f>
        <v>861372</v>
      </c>
    </row>
    <row r="172" spans="2:22">
      <c r="B172" s="44" t="s">
        <v>236</v>
      </c>
      <c r="C172" s="58">
        <v>83117</v>
      </c>
      <c r="D172" s="58">
        <v>287868</v>
      </c>
      <c r="E172" s="58">
        <v>230726.7178499999</v>
      </c>
      <c r="F172" s="58">
        <v>315405</v>
      </c>
      <c r="G172" s="58">
        <v>246775</v>
      </c>
      <c r="H172" s="58">
        <v>270923</v>
      </c>
      <c r="I172" s="58">
        <v>276793</v>
      </c>
      <c r="J172" s="58">
        <v>293727</v>
      </c>
      <c r="K172" s="58">
        <v>248303</v>
      </c>
      <c r="L172" s="318">
        <v>256674</v>
      </c>
      <c r="M172" s="58">
        <v>281522</v>
      </c>
      <c r="N172" s="58">
        <v>1181589</v>
      </c>
      <c r="O172" s="58">
        <v>632473</v>
      </c>
      <c r="P172" s="316">
        <v>658932</v>
      </c>
      <c r="Q172" s="316">
        <v>692135</v>
      </c>
      <c r="R172" s="316">
        <v>594163</v>
      </c>
      <c r="S172" s="316">
        <v>327586</v>
      </c>
      <c r="T172" s="316">
        <v>324875</v>
      </c>
      <c r="U172" s="316">
        <v>352894</v>
      </c>
      <c r="V172" s="316">
        <f>+[31]EEFF_TE_Bra!V174</f>
        <v>396609</v>
      </c>
    </row>
    <row r="173" spans="2:22">
      <c r="B173" s="44" t="s">
        <v>237</v>
      </c>
      <c r="C173" s="58">
        <v>16700</v>
      </c>
      <c r="D173" s="58">
        <v>18831</v>
      </c>
      <c r="E173" s="58">
        <v>17085</v>
      </c>
      <c r="F173" s="58">
        <v>16396</v>
      </c>
      <c r="G173" s="58">
        <v>16099</v>
      </c>
      <c r="H173" s="58">
        <v>20365</v>
      </c>
      <c r="I173" s="58">
        <v>18709</v>
      </c>
      <c r="J173" s="58">
        <v>15935</v>
      </c>
      <c r="K173" s="58">
        <v>15742</v>
      </c>
      <c r="L173" s="318">
        <v>14942</v>
      </c>
      <c r="M173" s="58">
        <v>15165</v>
      </c>
      <c r="N173" s="58">
        <v>14959</v>
      </c>
      <c r="O173" s="58">
        <v>17505</v>
      </c>
      <c r="P173" s="316">
        <v>22652</v>
      </c>
      <c r="Q173" s="316">
        <v>20707</v>
      </c>
      <c r="R173" s="316">
        <v>21090</v>
      </c>
      <c r="S173" s="316">
        <v>22097</v>
      </c>
      <c r="T173" s="316">
        <v>18767</v>
      </c>
      <c r="U173" s="316">
        <v>23287</v>
      </c>
      <c r="V173" s="316">
        <f>+[31]EEFF_TE_Bra!V175</f>
        <v>20401</v>
      </c>
    </row>
    <row r="174" spans="2:22">
      <c r="B174" s="44" t="s">
        <v>238</v>
      </c>
      <c r="C174" s="58">
        <v>0</v>
      </c>
      <c r="D174" s="58">
        <v>4307</v>
      </c>
      <c r="E174" s="58">
        <v>0</v>
      </c>
      <c r="F174" s="58">
        <v>0</v>
      </c>
      <c r="G174" s="58">
        <v>9512</v>
      </c>
      <c r="H174" s="58">
        <v>14879</v>
      </c>
      <c r="I174" s="58">
        <v>16631</v>
      </c>
      <c r="J174" s="58">
        <v>19974</v>
      </c>
      <c r="K174" s="58">
        <v>25639</v>
      </c>
      <c r="L174" s="318">
        <v>17452</v>
      </c>
      <c r="M174" s="58">
        <v>9681</v>
      </c>
      <c r="N174" s="58">
        <v>19543</v>
      </c>
      <c r="O174" s="58">
        <v>19717</v>
      </c>
      <c r="P174" s="316">
        <v>22259</v>
      </c>
      <c r="Q174" s="316">
        <v>19330</v>
      </c>
      <c r="R174" s="316">
        <v>20505</v>
      </c>
      <c r="S174" s="316">
        <v>35823</v>
      </c>
      <c r="T174" s="316">
        <v>45134</v>
      </c>
      <c r="U174" s="316">
        <v>49667</v>
      </c>
      <c r="V174" s="316">
        <f>+[31]EEFF_TE_Bra!V176</f>
        <v>49466</v>
      </c>
    </row>
    <row r="175" spans="2:22">
      <c r="B175" s="44" t="s">
        <v>239</v>
      </c>
      <c r="C175" s="58">
        <v>17531</v>
      </c>
      <c r="D175" s="58">
        <v>14162</v>
      </c>
      <c r="E175" s="58">
        <v>132735</v>
      </c>
      <c r="F175" s="58">
        <v>216638</v>
      </c>
      <c r="G175" s="58">
        <v>314092</v>
      </c>
      <c r="H175" s="58">
        <v>29521</v>
      </c>
      <c r="I175" s="58">
        <v>84201</v>
      </c>
      <c r="J175" s="58">
        <v>169403</v>
      </c>
      <c r="K175" s="58">
        <v>215694</v>
      </c>
      <c r="L175" s="318">
        <v>32335</v>
      </c>
      <c r="M175" s="58">
        <v>43483</v>
      </c>
      <c r="N175" s="58">
        <v>84600</v>
      </c>
      <c r="O175" s="58">
        <v>210886</v>
      </c>
      <c r="P175" s="316">
        <v>28807</v>
      </c>
      <c r="Q175" s="316">
        <v>72195</v>
      </c>
      <c r="R175" s="316">
        <v>107737</v>
      </c>
      <c r="S175" s="316">
        <v>149273</v>
      </c>
      <c r="T175" s="316">
        <v>72150</v>
      </c>
      <c r="U175" s="316">
        <v>96648</v>
      </c>
      <c r="V175" s="316">
        <f>+[31]EEFF_TE_Bra!V177</f>
        <v>126437</v>
      </c>
    </row>
    <row r="176" spans="2:22">
      <c r="B176" s="44" t="s">
        <v>177</v>
      </c>
      <c r="C176" s="58">
        <v>0</v>
      </c>
      <c r="D176" s="58">
        <v>2611</v>
      </c>
      <c r="E176" s="58">
        <v>0</v>
      </c>
      <c r="F176" s="58">
        <v>0</v>
      </c>
      <c r="G176" s="58">
        <v>0</v>
      </c>
      <c r="H176" s="58">
        <v>0</v>
      </c>
      <c r="I176" s="58">
        <v>0</v>
      </c>
      <c r="J176" s="58">
        <v>0</v>
      </c>
      <c r="K176" s="58">
        <v>67372</v>
      </c>
      <c r="L176" s="318">
        <v>19202</v>
      </c>
      <c r="M176" s="58">
        <v>228664</v>
      </c>
      <c r="N176" s="58">
        <v>255557</v>
      </c>
      <c r="O176" s="58">
        <v>14138</v>
      </c>
      <c r="P176" s="316">
        <v>12368</v>
      </c>
      <c r="Q176" s="316">
        <v>7507</v>
      </c>
      <c r="R176" s="316">
        <v>2259</v>
      </c>
      <c r="S176" s="316">
        <v>0</v>
      </c>
      <c r="T176" s="316">
        <v>200</v>
      </c>
      <c r="U176" s="316">
        <v>0</v>
      </c>
      <c r="V176" s="316">
        <f>+[31]EEFF_TE_Bra!V178</f>
        <v>0</v>
      </c>
    </row>
    <row r="177" spans="2:22">
      <c r="B177" s="44" t="s">
        <v>931</v>
      </c>
      <c r="C177" s="58">
        <v>23518</v>
      </c>
      <c r="D177" s="58">
        <v>0</v>
      </c>
      <c r="E177" s="58">
        <v>0</v>
      </c>
      <c r="F177" s="58">
        <v>0</v>
      </c>
      <c r="G177" s="58">
        <v>0</v>
      </c>
      <c r="H177" s="58">
        <v>0</v>
      </c>
      <c r="I177" s="58">
        <v>0</v>
      </c>
      <c r="J177" s="58">
        <v>0</v>
      </c>
      <c r="K177" s="58">
        <v>0</v>
      </c>
      <c r="L177" s="316">
        <v>0</v>
      </c>
      <c r="M177" s="264">
        <v>0</v>
      </c>
      <c r="N177" s="264">
        <v>0</v>
      </c>
      <c r="O177" s="264">
        <v>0</v>
      </c>
      <c r="P177" s="316" t="s">
        <v>152</v>
      </c>
      <c r="Q177" s="316" t="s">
        <v>152</v>
      </c>
      <c r="R177" s="316" t="s">
        <v>152</v>
      </c>
      <c r="S177" s="316" t="s">
        <v>152</v>
      </c>
      <c r="T177" s="316">
        <v>0</v>
      </c>
      <c r="U177" s="316">
        <v>0</v>
      </c>
      <c r="V177" s="316">
        <f>+[31]EEFF_TE_Bra!V179</f>
        <v>0</v>
      </c>
    </row>
    <row r="178" spans="2:22">
      <c r="B178" s="44" t="s">
        <v>241</v>
      </c>
      <c r="C178" s="58">
        <v>18041</v>
      </c>
      <c r="D178" s="58">
        <v>902.90506000000005</v>
      </c>
      <c r="E178" s="58">
        <v>490.49568999999974</v>
      </c>
      <c r="F178" s="58">
        <v>825</v>
      </c>
      <c r="G178" s="58">
        <v>423</v>
      </c>
      <c r="H178" s="58">
        <v>323</v>
      </c>
      <c r="I178" s="58">
        <v>4276</v>
      </c>
      <c r="J178" s="58">
        <v>9056</v>
      </c>
      <c r="K178" s="58">
        <v>9265</v>
      </c>
      <c r="L178" s="318">
        <v>703</v>
      </c>
      <c r="M178" s="58">
        <v>917</v>
      </c>
      <c r="N178" s="58">
        <v>1013</v>
      </c>
      <c r="O178" s="58">
        <v>580</v>
      </c>
      <c r="P178" s="316">
        <v>5649</v>
      </c>
      <c r="Q178" s="316">
        <v>14771</v>
      </c>
      <c r="R178" s="316">
        <v>15206</v>
      </c>
      <c r="S178" s="316">
        <v>10966</v>
      </c>
      <c r="T178" s="316">
        <v>78913</v>
      </c>
      <c r="U178" s="316">
        <v>79038</v>
      </c>
      <c r="V178" s="316">
        <f>+[31]EEFF_TE_Bra!V180</f>
        <v>80325</v>
      </c>
    </row>
    <row r="179" spans="2:22">
      <c r="B179" s="44" t="s">
        <v>240</v>
      </c>
      <c r="C179" s="58">
        <v>10303</v>
      </c>
      <c r="D179" s="58">
        <v>4607</v>
      </c>
      <c r="E179" s="58">
        <v>40927</v>
      </c>
      <c r="F179" s="58">
        <v>22245</v>
      </c>
      <c r="G179" s="58">
        <v>13145</v>
      </c>
      <c r="H179" s="58">
        <v>8384</v>
      </c>
      <c r="I179" s="58">
        <v>34841</v>
      </c>
      <c r="J179" s="58">
        <v>24862</v>
      </c>
      <c r="K179" s="58">
        <v>14657</v>
      </c>
      <c r="L179" s="318">
        <v>4677</v>
      </c>
      <c r="M179" s="58">
        <v>33212</v>
      </c>
      <c r="N179" s="58">
        <v>24292</v>
      </c>
      <c r="O179" s="58">
        <v>15324</v>
      </c>
      <c r="P179" s="316">
        <v>6400</v>
      </c>
      <c r="Q179" s="316">
        <v>36595</v>
      </c>
      <c r="R179" s="316">
        <v>28473</v>
      </c>
      <c r="S179" s="316">
        <v>18009</v>
      </c>
      <c r="T179" s="316">
        <v>11619</v>
      </c>
      <c r="U179" s="316">
        <v>43747</v>
      </c>
      <c r="V179" s="316">
        <f>+[31]EEFF_TE_Bra!V181</f>
        <v>38208</v>
      </c>
    </row>
    <row r="180" spans="2:22">
      <c r="B180" s="44" t="s">
        <v>242</v>
      </c>
      <c r="C180" s="58">
        <v>0</v>
      </c>
      <c r="D180" s="58">
        <v>1141</v>
      </c>
      <c r="E180" s="58">
        <v>0</v>
      </c>
      <c r="F180" s="58">
        <v>0</v>
      </c>
      <c r="G180" s="58">
        <v>1211</v>
      </c>
      <c r="H180" s="58">
        <v>1787</v>
      </c>
      <c r="I180" s="58">
        <v>1814</v>
      </c>
      <c r="J180" s="58">
        <v>1833</v>
      </c>
      <c r="K180" s="58">
        <v>1862</v>
      </c>
      <c r="L180" s="318">
        <v>1876</v>
      </c>
      <c r="M180" s="58">
        <v>1887</v>
      </c>
      <c r="N180" s="58">
        <v>1894</v>
      </c>
      <c r="O180" s="58">
        <v>1892</v>
      </c>
      <c r="P180" s="316">
        <v>1808</v>
      </c>
      <c r="Q180" s="316">
        <v>3873</v>
      </c>
      <c r="R180" s="316">
        <v>3866</v>
      </c>
      <c r="S180" s="316">
        <v>3931</v>
      </c>
      <c r="T180" s="316">
        <v>3952</v>
      </c>
      <c r="U180" s="316">
        <v>4017</v>
      </c>
      <c r="V180" s="316">
        <f>+[31]EEFF_TE_Bra!V182</f>
        <v>4977</v>
      </c>
    </row>
    <row r="181" spans="2:22">
      <c r="B181" s="44" t="s">
        <v>180</v>
      </c>
      <c r="C181" s="58">
        <v>49486</v>
      </c>
      <c r="D181" s="58">
        <v>42433</v>
      </c>
      <c r="E181" s="58">
        <v>66666</v>
      </c>
      <c r="F181" s="58">
        <v>83296</v>
      </c>
      <c r="G181" s="58">
        <v>41921</v>
      </c>
      <c r="H181" s="58">
        <v>48818</v>
      </c>
      <c r="I181" s="58">
        <v>43681</v>
      </c>
      <c r="J181" s="58">
        <v>41017</v>
      </c>
      <c r="K181" s="58">
        <v>36844</v>
      </c>
      <c r="L181" s="318">
        <v>41133</v>
      </c>
      <c r="M181" s="58">
        <v>39483</v>
      </c>
      <c r="N181" s="58">
        <v>76935</v>
      </c>
      <c r="O181" s="58">
        <v>71323</v>
      </c>
      <c r="P181" s="316">
        <v>69415</v>
      </c>
      <c r="Q181" s="316">
        <v>56067</v>
      </c>
      <c r="R181" s="316">
        <v>72492</v>
      </c>
      <c r="S181" s="316">
        <v>65642</v>
      </c>
      <c r="T181" s="316">
        <v>59975</v>
      </c>
      <c r="U181" s="316">
        <v>54712</v>
      </c>
      <c r="V181" s="316">
        <f>+[31]EEFF_TE_Bra!V183</f>
        <v>72671</v>
      </c>
    </row>
    <row r="182" spans="2:22">
      <c r="B182" s="257"/>
      <c r="C182" s="60">
        <f t="shared" ref="C182:T182" si="42">SUM(C170:C181)</f>
        <v>559358</v>
      </c>
      <c r="D182" s="60">
        <f t="shared" si="42"/>
        <v>993513.90506000002</v>
      </c>
      <c r="E182" s="60">
        <f t="shared" si="42"/>
        <v>1216605.2135399999</v>
      </c>
      <c r="F182" s="60">
        <f t="shared" si="42"/>
        <v>1505692</v>
      </c>
      <c r="G182" s="60">
        <f t="shared" si="42"/>
        <v>2247141</v>
      </c>
      <c r="H182" s="60">
        <f t="shared" si="42"/>
        <v>1092649</v>
      </c>
      <c r="I182" s="60">
        <f t="shared" si="42"/>
        <v>1586198</v>
      </c>
      <c r="J182" s="60">
        <f t="shared" si="42"/>
        <v>1920154</v>
      </c>
      <c r="K182" s="60">
        <f t="shared" si="42"/>
        <v>1839915</v>
      </c>
      <c r="L182" s="258">
        <f t="shared" si="42"/>
        <v>3053576</v>
      </c>
      <c r="M182" s="60">
        <f t="shared" si="42"/>
        <v>1923276</v>
      </c>
      <c r="N182" s="60">
        <f t="shared" si="42"/>
        <v>3546015</v>
      </c>
      <c r="O182" s="60">
        <f t="shared" si="42"/>
        <v>2324598</v>
      </c>
      <c r="P182" s="319">
        <f t="shared" si="42"/>
        <v>3349184</v>
      </c>
      <c r="Q182" s="319">
        <f t="shared" si="42"/>
        <v>2246601</v>
      </c>
      <c r="R182" s="319">
        <f t="shared" si="42"/>
        <v>2681297</v>
      </c>
      <c r="S182" s="319">
        <f t="shared" si="42"/>
        <v>1840784</v>
      </c>
      <c r="T182" s="319">
        <f t="shared" si="42"/>
        <v>1711851</v>
      </c>
      <c r="U182" s="319">
        <v>1903248</v>
      </c>
      <c r="V182" s="319">
        <f>+[31]EEFF_TE_Bra!V184</f>
        <v>1871426</v>
      </c>
    </row>
    <row r="183" spans="2:22">
      <c r="B183" s="259" t="s">
        <v>243</v>
      </c>
      <c r="C183" s="59"/>
      <c r="D183" s="59"/>
      <c r="E183" s="59"/>
      <c r="F183" s="259"/>
      <c r="G183" s="59"/>
      <c r="H183" s="59"/>
      <c r="I183" s="59"/>
      <c r="J183" s="59"/>
      <c r="K183" s="59"/>
      <c r="L183" s="551"/>
      <c r="M183" s="59"/>
      <c r="N183" s="59"/>
      <c r="O183" s="59"/>
      <c r="P183" s="320"/>
      <c r="Q183" s="320"/>
      <c r="R183" s="320"/>
      <c r="S183" s="320"/>
      <c r="T183" s="320"/>
      <c r="U183" s="320"/>
      <c r="V183" s="320">
        <f>+[31]EEFF_TE_Bra!V185</f>
        <v>0</v>
      </c>
    </row>
    <row r="184" spans="2:22">
      <c r="B184" s="263" t="s">
        <v>244</v>
      </c>
      <c r="C184" s="61"/>
      <c r="D184" s="61"/>
      <c r="E184" s="61"/>
      <c r="F184" s="61"/>
      <c r="G184" s="61"/>
      <c r="H184" s="61"/>
      <c r="I184" s="61"/>
      <c r="J184" s="61"/>
      <c r="K184" s="61"/>
      <c r="L184" s="556"/>
      <c r="M184" s="61"/>
      <c r="N184" s="61"/>
      <c r="O184" s="61"/>
      <c r="P184" s="323"/>
      <c r="Q184" s="323"/>
      <c r="R184" s="323"/>
      <c r="S184" s="323"/>
      <c r="T184" s="323"/>
      <c r="V184" s="42">
        <f>+[31]EEFF_TE_Bra!V186</f>
        <v>0</v>
      </c>
    </row>
    <row r="185" spans="2:22">
      <c r="B185" s="44" t="s">
        <v>242</v>
      </c>
      <c r="C185" s="58">
        <v>0</v>
      </c>
      <c r="D185" s="58">
        <v>35674</v>
      </c>
      <c r="E185" s="58">
        <v>0</v>
      </c>
      <c r="F185" s="58">
        <v>0</v>
      </c>
      <c r="G185" s="58">
        <v>43818</v>
      </c>
      <c r="H185" s="58">
        <v>42268</v>
      </c>
      <c r="I185" s="58">
        <v>44888</v>
      </c>
      <c r="J185" s="58">
        <v>47771</v>
      </c>
      <c r="K185" s="58">
        <v>47245</v>
      </c>
      <c r="L185" s="318">
        <v>46515</v>
      </c>
      <c r="M185" s="58">
        <v>46649</v>
      </c>
      <c r="N185" s="58">
        <v>46926</v>
      </c>
      <c r="O185" s="58">
        <v>46981</v>
      </c>
      <c r="P185" s="316">
        <v>46903</v>
      </c>
      <c r="Q185" s="316">
        <v>40249</v>
      </c>
      <c r="R185" s="316">
        <v>37057</v>
      </c>
      <c r="S185" s="316">
        <v>38409</v>
      </c>
      <c r="T185" s="316">
        <v>38968</v>
      </c>
      <c r="U185" s="316">
        <v>39521</v>
      </c>
      <c r="V185" s="316">
        <f>+[31]EEFF_TE_Bra!V187</f>
        <v>38263</v>
      </c>
    </row>
    <row r="186" spans="2:22">
      <c r="B186" s="44" t="s">
        <v>236</v>
      </c>
      <c r="C186" s="58">
        <v>9117</v>
      </c>
      <c r="D186" s="58">
        <v>20329</v>
      </c>
      <c r="E186" s="58">
        <v>14973.786459999159</v>
      </c>
      <c r="F186" s="58">
        <v>20664</v>
      </c>
      <c r="G186" s="58">
        <v>9769</v>
      </c>
      <c r="H186" s="58">
        <v>10575</v>
      </c>
      <c r="I186" s="58">
        <v>10666</v>
      </c>
      <c r="J186" s="58">
        <v>10594</v>
      </c>
      <c r="K186" s="58">
        <v>10663</v>
      </c>
      <c r="L186" s="318">
        <v>10679</v>
      </c>
      <c r="M186" s="58">
        <v>10700</v>
      </c>
      <c r="N186" s="58">
        <v>10726</v>
      </c>
      <c r="O186" s="58">
        <v>578837</v>
      </c>
      <c r="P186" s="316">
        <v>498309</v>
      </c>
      <c r="Q186" s="316">
        <v>417349</v>
      </c>
      <c r="R186" s="316">
        <v>336573</v>
      </c>
      <c r="S186" s="316">
        <v>551165</v>
      </c>
      <c r="T186" s="316">
        <v>524184</v>
      </c>
      <c r="U186" s="316">
        <v>497288</v>
      </c>
      <c r="V186" s="316">
        <f>+[31]EEFF_TE_Bra!V188</f>
        <v>1187261</v>
      </c>
    </row>
    <row r="187" spans="2:22">
      <c r="B187" s="44" t="s">
        <v>245</v>
      </c>
      <c r="C187" s="58">
        <v>1150358</v>
      </c>
      <c r="D187" s="58">
        <v>1312791</v>
      </c>
      <c r="E187" s="58">
        <v>1363119</v>
      </c>
      <c r="F187" s="58">
        <v>1409142</v>
      </c>
      <c r="G187" s="58">
        <v>1425474</v>
      </c>
      <c r="H187" s="58">
        <v>1426083</v>
      </c>
      <c r="I187" s="58">
        <v>1426613</v>
      </c>
      <c r="J187" s="58">
        <v>1473391</v>
      </c>
      <c r="K187" s="58">
        <v>1518151</v>
      </c>
      <c r="L187" s="318">
        <v>1576332</v>
      </c>
      <c r="M187" s="58">
        <v>1620971</v>
      </c>
      <c r="N187" s="58">
        <v>1668555</v>
      </c>
      <c r="O187" s="58">
        <v>1724394</v>
      </c>
      <c r="P187" s="316">
        <v>1778999</v>
      </c>
      <c r="Q187" s="316">
        <v>1821503</v>
      </c>
      <c r="R187" s="316">
        <v>1868048</v>
      </c>
      <c r="S187" s="316">
        <v>1911094</v>
      </c>
      <c r="T187" s="316">
        <v>1967747</v>
      </c>
      <c r="U187" s="316">
        <v>2013021</v>
      </c>
      <c r="V187" s="316">
        <f>+[31]EEFF_TE_Bra!V189</f>
        <v>2065840</v>
      </c>
    </row>
    <row r="188" spans="2:22">
      <c r="B188" s="44" t="s">
        <v>246</v>
      </c>
      <c r="C188" s="58">
        <v>229085</v>
      </c>
      <c r="D188" s="58" t="s">
        <v>152</v>
      </c>
      <c r="E188" s="58" t="s">
        <v>152</v>
      </c>
      <c r="F188" s="58" t="s">
        <v>152</v>
      </c>
      <c r="G188" s="58" t="s">
        <v>152</v>
      </c>
      <c r="H188" s="58" t="s">
        <v>152</v>
      </c>
      <c r="I188" s="58" t="s">
        <v>152</v>
      </c>
      <c r="J188" s="58" t="s">
        <v>152</v>
      </c>
      <c r="K188" s="264" t="s">
        <v>152</v>
      </c>
      <c r="L188" s="318">
        <v>242</v>
      </c>
      <c r="M188" s="264" t="s">
        <v>152</v>
      </c>
      <c r="N188" s="264" t="s">
        <v>152</v>
      </c>
      <c r="O188" s="58">
        <v>0</v>
      </c>
      <c r="P188" s="316" t="s">
        <v>152</v>
      </c>
      <c r="Q188" s="316" t="s">
        <v>152</v>
      </c>
      <c r="R188" s="316">
        <v>2436</v>
      </c>
      <c r="S188" s="316">
        <v>1117</v>
      </c>
      <c r="T188" s="316">
        <v>0</v>
      </c>
      <c r="U188" s="316">
        <v>286</v>
      </c>
      <c r="V188" s="316">
        <f>+[31]EEFF_TE_Bra!V190</f>
        <v>49</v>
      </c>
    </row>
    <row r="189" spans="2:22">
      <c r="B189" s="44" t="s">
        <v>931</v>
      </c>
      <c r="C189" s="58">
        <v>0</v>
      </c>
      <c r="D189" s="58">
        <v>0</v>
      </c>
      <c r="E189" s="58">
        <v>0</v>
      </c>
      <c r="F189" s="58">
        <v>0</v>
      </c>
      <c r="G189" s="58">
        <v>0</v>
      </c>
      <c r="H189" s="58">
        <v>0</v>
      </c>
      <c r="I189" s="58">
        <v>76</v>
      </c>
      <c r="J189" s="58">
        <v>329</v>
      </c>
      <c r="K189" s="58">
        <v>2226</v>
      </c>
      <c r="L189" s="322" t="s">
        <v>152</v>
      </c>
      <c r="M189" s="58">
        <v>0</v>
      </c>
      <c r="N189" s="58">
        <v>0</v>
      </c>
      <c r="O189" s="58">
        <v>0</v>
      </c>
      <c r="P189" s="316" t="s">
        <v>152</v>
      </c>
      <c r="Q189" s="316">
        <v>41074</v>
      </c>
      <c r="R189" s="316" t="s">
        <v>152</v>
      </c>
      <c r="S189" s="316" t="s">
        <v>152</v>
      </c>
      <c r="T189" s="316">
        <v>0</v>
      </c>
      <c r="U189" s="316">
        <v>0</v>
      </c>
      <c r="V189" s="316">
        <f>+[31]EEFF_TE_Bra!V191</f>
        <v>0</v>
      </c>
    </row>
    <row r="190" spans="2:22">
      <c r="B190" s="44" t="s">
        <v>187</v>
      </c>
      <c r="C190" s="58">
        <v>70175</v>
      </c>
      <c r="D190" s="58">
        <v>66414</v>
      </c>
      <c r="E190" s="58">
        <v>66571</v>
      </c>
      <c r="F190" s="58">
        <v>65070</v>
      </c>
      <c r="G190" s="58">
        <v>66816</v>
      </c>
      <c r="H190" s="58">
        <v>66987</v>
      </c>
      <c r="I190" s="58">
        <v>64874</v>
      </c>
      <c r="J190" s="58">
        <v>64007</v>
      </c>
      <c r="K190" s="58">
        <v>58867</v>
      </c>
      <c r="L190" s="318">
        <v>52886</v>
      </c>
      <c r="M190" s="58">
        <v>51597</v>
      </c>
      <c r="N190" s="58">
        <v>49133</v>
      </c>
      <c r="O190" s="58">
        <v>41575</v>
      </c>
      <c r="P190" s="316">
        <v>44119</v>
      </c>
      <c r="Q190" s="316">
        <v>47184</v>
      </c>
      <c r="R190" s="316">
        <v>45671</v>
      </c>
      <c r="S190" s="316">
        <v>45631</v>
      </c>
      <c r="T190" s="316">
        <v>46011</v>
      </c>
      <c r="U190" s="316">
        <v>46437</v>
      </c>
      <c r="V190" s="316">
        <f>+[31]EEFF_TE_Bra!V192</f>
        <v>43797</v>
      </c>
    </row>
    <row r="191" spans="2:22">
      <c r="B191" s="44" t="s">
        <v>926</v>
      </c>
      <c r="C191" s="58">
        <v>0</v>
      </c>
      <c r="D191" s="58">
        <v>0</v>
      </c>
      <c r="E191" s="58">
        <v>0</v>
      </c>
      <c r="F191" s="58">
        <v>0</v>
      </c>
      <c r="G191" s="58">
        <v>0</v>
      </c>
      <c r="H191" s="58">
        <v>105444</v>
      </c>
      <c r="I191" s="58">
        <v>105444</v>
      </c>
      <c r="J191" s="58">
        <v>105444</v>
      </c>
      <c r="K191" s="58">
        <v>105444</v>
      </c>
      <c r="L191" s="318">
        <v>43024</v>
      </c>
      <c r="M191" s="58">
        <v>43024</v>
      </c>
      <c r="N191" s="58">
        <v>43024</v>
      </c>
      <c r="O191" s="58">
        <v>43024</v>
      </c>
      <c r="P191" s="316">
        <v>0</v>
      </c>
      <c r="Q191" s="316">
        <v>0</v>
      </c>
      <c r="R191" s="316">
        <v>0</v>
      </c>
      <c r="S191" s="316">
        <v>0</v>
      </c>
      <c r="T191" s="316">
        <v>0</v>
      </c>
      <c r="U191" s="316">
        <v>0</v>
      </c>
      <c r="V191" s="316">
        <f>+[31]EEFF_TE_Bra!V193</f>
        <v>0</v>
      </c>
    </row>
    <row r="192" spans="2:22">
      <c r="B192" s="44" t="s">
        <v>177</v>
      </c>
      <c r="C192" s="58">
        <v>0</v>
      </c>
      <c r="D192" s="58">
        <v>0</v>
      </c>
      <c r="E192" s="58">
        <v>0</v>
      </c>
      <c r="F192" s="58">
        <v>11861</v>
      </c>
      <c r="G192" s="58">
        <v>11861</v>
      </c>
      <c r="H192" s="58">
        <v>2643</v>
      </c>
      <c r="I192" s="58">
        <v>10771</v>
      </c>
      <c r="J192" s="58">
        <v>0</v>
      </c>
      <c r="K192" s="58">
        <v>1962</v>
      </c>
      <c r="L192" s="318">
        <v>0</v>
      </c>
      <c r="M192" s="58">
        <v>3068</v>
      </c>
      <c r="N192" s="58">
        <v>3546</v>
      </c>
      <c r="O192" s="58">
        <v>4056</v>
      </c>
      <c r="P192" s="316">
        <v>226</v>
      </c>
      <c r="Q192" s="316">
        <v>18417</v>
      </c>
      <c r="R192" s="316">
        <v>403</v>
      </c>
      <c r="S192" s="316">
        <v>14360</v>
      </c>
      <c r="T192" s="316">
        <v>18250</v>
      </c>
      <c r="U192" s="316">
        <v>0</v>
      </c>
      <c r="V192" s="316">
        <f>+[31]EEFF_TE_Bra!V194</f>
        <v>2008</v>
      </c>
    </row>
    <row r="193" spans="2:22">
      <c r="B193" s="44" t="s">
        <v>247</v>
      </c>
      <c r="C193" s="58">
        <v>0</v>
      </c>
      <c r="D193" s="58">
        <v>0</v>
      </c>
      <c r="E193" s="58">
        <v>0</v>
      </c>
      <c r="F193" s="58">
        <v>0</v>
      </c>
      <c r="G193" s="58">
        <v>0</v>
      </c>
      <c r="H193" s="58">
        <v>0</v>
      </c>
      <c r="I193" s="58">
        <v>0</v>
      </c>
      <c r="J193" s="58">
        <v>0</v>
      </c>
      <c r="K193" s="58">
        <v>0</v>
      </c>
      <c r="L193" s="318">
        <v>0</v>
      </c>
      <c r="M193" s="58">
        <v>12226</v>
      </c>
      <c r="N193" s="58">
        <v>5472</v>
      </c>
      <c r="O193" s="58">
        <v>5080</v>
      </c>
      <c r="P193" s="316">
        <v>7538</v>
      </c>
      <c r="Q193" s="316">
        <v>11984</v>
      </c>
      <c r="R193" s="316">
        <v>16245</v>
      </c>
      <c r="S193" s="316">
        <v>7006</v>
      </c>
      <c r="T193" s="316">
        <v>4738</v>
      </c>
      <c r="U193" s="316">
        <v>2038</v>
      </c>
      <c r="V193" s="316">
        <f>+[31]EEFF_TE_Bra!V195</f>
        <v>0</v>
      </c>
    </row>
    <row r="194" spans="2:22" ht="14.15" customHeight="1">
      <c r="B194" s="44" t="s">
        <v>180</v>
      </c>
      <c r="C194" s="58">
        <v>13572</v>
      </c>
      <c r="D194" s="58">
        <v>1000</v>
      </c>
      <c r="E194" s="58">
        <v>43228</v>
      </c>
      <c r="F194" s="58">
        <v>54956</v>
      </c>
      <c r="G194" s="58">
        <v>12490</v>
      </c>
      <c r="H194" s="58">
        <v>1476</v>
      </c>
      <c r="I194" s="58">
        <v>1467</v>
      </c>
      <c r="J194" s="58">
        <v>1458</v>
      </c>
      <c r="K194" s="58">
        <v>1449</v>
      </c>
      <c r="L194" s="318">
        <v>12693</v>
      </c>
      <c r="M194" s="58">
        <v>13700</v>
      </c>
      <c r="N194" s="58">
        <v>103428</v>
      </c>
      <c r="O194" s="58">
        <v>103825</v>
      </c>
      <c r="P194" s="316">
        <v>102772</v>
      </c>
      <c r="Q194" s="316">
        <v>102146</v>
      </c>
      <c r="R194" s="316">
        <v>102557</v>
      </c>
      <c r="S194" s="316">
        <v>102642</v>
      </c>
      <c r="T194" s="316">
        <v>102250</v>
      </c>
      <c r="U194" s="316">
        <v>88025</v>
      </c>
      <c r="V194" s="316">
        <f>+[31]EEFF_TE_Bra!V196</f>
        <v>61751</v>
      </c>
    </row>
    <row r="195" spans="2:22">
      <c r="B195" s="257" t="s">
        <v>934</v>
      </c>
      <c r="C195" s="60">
        <f t="shared" ref="C195:N195" si="43">SUM(C185:C194)</f>
        <v>1472307</v>
      </c>
      <c r="D195" s="60">
        <f t="shared" si="43"/>
        <v>1436208</v>
      </c>
      <c r="E195" s="60">
        <f t="shared" si="43"/>
        <v>1487891.7864599992</v>
      </c>
      <c r="F195" s="60">
        <f t="shared" si="43"/>
        <v>1561693</v>
      </c>
      <c r="G195" s="60">
        <f t="shared" si="43"/>
        <v>1570228</v>
      </c>
      <c r="H195" s="60">
        <f t="shared" si="43"/>
        <v>1655476</v>
      </c>
      <c r="I195" s="60">
        <f t="shared" si="43"/>
        <v>1664799</v>
      </c>
      <c r="J195" s="60">
        <f t="shared" si="43"/>
        <v>1702994</v>
      </c>
      <c r="K195" s="60">
        <f t="shared" si="43"/>
        <v>1746007</v>
      </c>
      <c r="L195" s="258">
        <f t="shared" si="43"/>
        <v>1742371</v>
      </c>
      <c r="M195" s="60">
        <f t="shared" si="43"/>
        <v>1801935</v>
      </c>
      <c r="N195" s="60">
        <f t="shared" si="43"/>
        <v>1930810</v>
      </c>
      <c r="O195" s="60">
        <f>SUM(O185:O194)</f>
        <v>2547772</v>
      </c>
      <c r="P195" s="319">
        <f>SUM(P185:P194)</f>
        <v>2478866</v>
      </c>
      <c r="Q195" s="319">
        <f>SUM(Q185:Q194)</f>
        <v>2499906</v>
      </c>
      <c r="R195" s="319">
        <f>SUM(R185:R194)</f>
        <v>2408990</v>
      </c>
      <c r="S195" s="319">
        <f t="shared" ref="S195:T195" si="44">SUM(S185:S194)</f>
        <v>2671424</v>
      </c>
      <c r="T195" s="319">
        <f t="shared" si="44"/>
        <v>2702148</v>
      </c>
      <c r="U195" s="319">
        <v>2686616</v>
      </c>
      <c r="V195" s="319">
        <f>+[31]EEFF_TE_Bra!V197</f>
        <v>3398969</v>
      </c>
    </row>
    <row r="196" spans="2:22">
      <c r="B196" s="44" t="s">
        <v>188</v>
      </c>
      <c r="C196" s="58">
        <v>1203699</v>
      </c>
      <c r="D196" s="58">
        <v>1185326</v>
      </c>
      <c r="E196" s="58">
        <v>1218871</v>
      </c>
      <c r="F196" s="58">
        <v>1242101</v>
      </c>
      <c r="G196" s="58">
        <v>1141153</v>
      </c>
      <c r="H196" s="58">
        <v>1150275</v>
      </c>
      <c r="I196" s="58">
        <v>1202280</v>
      </c>
      <c r="J196" s="58">
        <v>1213126</v>
      </c>
      <c r="K196" s="58">
        <v>1253850</v>
      </c>
      <c r="L196" s="318">
        <v>1390300</v>
      </c>
      <c r="M196" s="58">
        <v>1510113</v>
      </c>
      <c r="N196" s="58">
        <v>1515680</v>
      </c>
      <c r="O196" s="58">
        <v>1549139</v>
      </c>
      <c r="P196" s="316">
        <v>1517335</v>
      </c>
      <c r="Q196" s="316">
        <v>1537544</v>
      </c>
      <c r="R196" s="316">
        <v>1549745</v>
      </c>
      <c r="S196" s="316">
        <v>1568124</v>
      </c>
      <c r="T196" s="316">
        <v>1452061</v>
      </c>
      <c r="U196" s="316">
        <v>1495185</v>
      </c>
      <c r="V196" s="316">
        <f>+[31]EEFF_TE_Bra!V198</f>
        <v>1558923</v>
      </c>
    </row>
    <row r="197" spans="2:22">
      <c r="B197" s="44" t="s">
        <v>248</v>
      </c>
      <c r="C197" s="58">
        <v>6554702</v>
      </c>
      <c r="D197" s="58">
        <v>7203760</v>
      </c>
      <c r="E197" s="58">
        <v>7336924</v>
      </c>
      <c r="F197" s="58">
        <v>7217789</v>
      </c>
      <c r="G197" s="58">
        <v>7285026</v>
      </c>
      <c r="H197" s="58">
        <v>7095933</v>
      </c>
      <c r="I197" s="58">
        <v>7023767</v>
      </c>
      <c r="J197" s="58">
        <v>7026623</v>
      </c>
      <c r="K197" s="58">
        <v>7047922</v>
      </c>
      <c r="L197" s="318">
        <v>7156235</v>
      </c>
      <c r="M197" s="58">
        <v>7153557</v>
      </c>
      <c r="N197" s="58">
        <v>7151094</v>
      </c>
      <c r="O197" s="58">
        <v>7827146</v>
      </c>
      <c r="P197" s="316">
        <v>7912308</v>
      </c>
      <c r="Q197" s="316">
        <v>8330318</v>
      </c>
      <c r="R197" s="316">
        <v>8654330</v>
      </c>
      <c r="S197" s="316">
        <v>8790703</v>
      </c>
      <c r="T197" s="316">
        <v>8936180</v>
      </c>
      <c r="U197" s="316">
        <v>9313061</v>
      </c>
      <c r="V197" s="316">
        <f>+[31]EEFF_TE_Bra!V199</f>
        <v>8895514</v>
      </c>
    </row>
    <row r="198" spans="2:22">
      <c r="B198" s="44" t="s">
        <v>190</v>
      </c>
      <c r="C198" s="58">
        <v>110936</v>
      </c>
      <c r="D198" s="58">
        <v>277941</v>
      </c>
      <c r="E198" s="58">
        <v>137603</v>
      </c>
      <c r="F198" s="58">
        <v>137790</v>
      </c>
      <c r="G198" s="58">
        <v>152216</v>
      </c>
      <c r="H198" s="58">
        <v>295698</v>
      </c>
      <c r="I198" s="58">
        <v>278554</v>
      </c>
      <c r="J198" s="58">
        <v>299428</v>
      </c>
      <c r="K198" s="58">
        <v>302226</v>
      </c>
      <c r="L198" s="318">
        <v>306071</v>
      </c>
      <c r="M198" s="58">
        <v>300500</v>
      </c>
      <c r="N198" s="58">
        <v>302412</v>
      </c>
      <c r="O198" s="58">
        <v>319989</v>
      </c>
      <c r="P198" s="316">
        <v>359753</v>
      </c>
      <c r="Q198" s="316">
        <v>1918001</v>
      </c>
      <c r="R198" s="316">
        <v>1656620</v>
      </c>
      <c r="S198" s="316">
        <v>1626388</v>
      </c>
      <c r="T198" s="316">
        <v>1614997</v>
      </c>
      <c r="U198" s="316">
        <v>1689614</v>
      </c>
      <c r="V198" s="316">
        <f>+[31]EEFF_TE_Bra!V200</f>
        <v>1680877</v>
      </c>
    </row>
    <row r="199" spans="2:22">
      <c r="B199" s="257" t="s">
        <v>935</v>
      </c>
      <c r="C199" s="577">
        <f t="shared" ref="C199:N199" si="45">SUM(C196:C198,C185:C194)</f>
        <v>9341644</v>
      </c>
      <c r="D199" s="577">
        <f t="shared" si="45"/>
        <v>10103235</v>
      </c>
      <c r="E199" s="577">
        <f t="shared" si="45"/>
        <v>10181289.786459999</v>
      </c>
      <c r="F199" s="577">
        <f t="shared" si="45"/>
        <v>10159373</v>
      </c>
      <c r="G199" s="577">
        <f t="shared" si="45"/>
        <v>10148623</v>
      </c>
      <c r="H199" s="577">
        <f t="shared" si="45"/>
        <v>10197382</v>
      </c>
      <c r="I199" s="577">
        <f t="shared" si="45"/>
        <v>10169400</v>
      </c>
      <c r="J199" s="577">
        <f t="shared" si="45"/>
        <v>10242171</v>
      </c>
      <c r="K199" s="577">
        <f t="shared" si="45"/>
        <v>10350005</v>
      </c>
      <c r="L199" s="319">
        <f t="shared" si="45"/>
        <v>10594977</v>
      </c>
      <c r="M199" s="577">
        <f t="shared" si="45"/>
        <v>10766105</v>
      </c>
      <c r="N199" s="577">
        <f t="shared" si="45"/>
        <v>10899996</v>
      </c>
      <c r="O199" s="577">
        <f>SUM(O196:O198,O185:O194)</f>
        <v>12244046</v>
      </c>
      <c r="P199" s="319">
        <f>SUM(P196:P198,P185:P194)</f>
        <v>12268262</v>
      </c>
      <c r="Q199" s="319">
        <f>SUM(Q196:Q198,Q185:Q194)</f>
        <v>14285769</v>
      </c>
      <c r="R199" s="319">
        <f>SUM(R196:R198,R185:R194)</f>
        <v>14269685</v>
      </c>
      <c r="S199" s="319">
        <f t="shared" ref="S199:T199" si="46">SUM(S196:S198,S185:S194)</f>
        <v>14656639</v>
      </c>
      <c r="T199" s="319">
        <f t="shared" si="46"/>
        <v>14705386</v>
      </c>
      <c r="U199" s="319">
        <v>15184476</v>
      </c>
      <c r="V199" s="319">
        <f>+[31]EEFF_TE_Bra!V201</f>
        <v>15534283</v>
      </c>
    </row>
    <row r="200" spans="2:22">
      <c r="B200" s="257" t="s">
        <v>936</v>
      </c>
      <c r="C200" s="577">
        <f t="shared" ref="C200:T200" si="47">C199+C182</f>
        <v>9901002</v>
      </c>
      <c r="D200" s="577">
        <f t="shared" si="47"/>
        <v>11096748.905060001</v>
      </c>
      <c r="E200" s="577">
        <f t="shared" si="47"/>
        <v>11397895</v>
      </c>
      <c r="F200" s="577">
        <f t="shared" si="47"/>
        <v>11665065</v>
      </c>
      <c r="G200" s="577">
        <f t="shared" si="47"/>
        <v>12395764</v>
      </c>
      <c r="H200" s="577">
        <f t="shared" si="47"/>
        <v>11290031</v>
      </c>
      <c r="I200" s="577">
        <f t="shared" si="47"/>
        <v>11755598</v>
      </c>
      <c r="J200" s="577">
        <f t="shared" si="47"/>
        <v>12162325</v>
      </c>
      <c r="K200" s="577">
        <f t="shared" si="47"/>
        <v>12189920</v>
      </c>
      <c r="L200" s="319">
        <f t="shared" si="47"/>
        <v>13648553</v>
      </c>
      <c r="M200" s="577">
        <f t="shared" si="47"/>
        <v>12689381</v>
      </c>
      <c r="N200" s="577">
        <f t="shared" si="47"/>
        <v>14446011</v>
      </c>
      <c r="O200" s="577">
        <f t="shared" si="47"/>
        <v>14568644</v>
      </c>
      <c r="P200" s="319">
        <f t="shared" si="47"/>
        <v>15617446</v>
      </c>
      <c r="Q200" s="319">
        <f t="shared" si="47"/>
        <v>16532370</v>
      </c>
      <c r="R200" s="319">
        <f t="shared" si="47"/>
        <v>16950982</v>
      </c>
      <c r="S200" s="319">
        <f t="shared" si="47"/>
        <v>16497423</v>
      </c>
      <c r="T200" s="319">
        <f t="shared" si="47"/>
        <v>16417237</v>
      </c>
      <c r="U200" s="319">
        <v>17087724</v>
      </c>
      <c r="V200" s="319">
        <f>+[31]EEFF_TE_Bra!V202</f>
        <v>17405709</v>
      </c>
    </row>
    <row r="201" spans="2:22">
      <c r="B201" s="265"/>
      <c r="C201" s="266"/>
      <c r="D201" s="266"/>
      <c r="E201" s="266"/>
      <c r="F201" s="266"/>
      <c r="G201" s="267"/>
      <c r="H201" s="267"/>
      <c r="I201" s="267"/>
      <c r="J201" s="268"/>
      <c r="K201" s="267"/>
      <c r="L201" s="557"/>
      <c r="M201" s="267"/>
      <c r="N201" s="267"/>
      <c r="O201" s="267"/>
      <c r="P201" s="558"/>
      <c r="Q201" s="558"/>
      <c r="R201" s="558"/>
      <c r="S201" s="558"/>
      <c r="T201" s="558"/>
      <c r="V201" s="42">
        <f>+[31]EEFF_TE_Bra!V203</f>
        <v>0</v>
      </c>
    </row>
    <row r="202" spans="2:22">
      <c r="B202" s="762" t="s">
        <v>192</v>
      </c>
      <c r="C202" s="763" t="s">
        <v>130</v>
      </c>
      <c r="D202" s="763"/>
      <c r="E202" s="763"/>
      <c r="F202" s="763"/>
      <c r="G202" s="763"/>
      <c r="H202" s="763"/>
      <c r="I202" s="763"/>
      <c r="J202" s="763"/>
      <c r="K202" s="763"/>
      <c r="L202" s="763"/>
      <c r="M202" s="763"/>
      <c r="N202" s="763"/>
      <c r="O202" s="763"/>
      <c r="P202" s="763"/>
      <c r="Q202" s="578"/>
      <c r="R202" s="578"/>
      <c r="S202" s="604"/>
      <c r="T202" s="604"/>
      <c r="U202" s="604"/>
      <c r="V202" s="604">
        <f>+[31]EEFF_TE_Bra!V204</f>
        <v>0</v>
      </c>
    </row>
    <row r="203" spans="2:22">
      <c r="B203" s="762"/>
      <c r="C203" s="561">
        <v>2016</v>
      </c>
      <c r="D203" s="562">
        <v>2017</v>
      </c>
      <c r="E203" s="562" t="s">
        <v>131</v>
      </c>
      <c r="F203" s="562" t="s">
        <v>132</v>
      </c>
      <c r="G203" s="562" t="s">
        <v>133</v>
      </c>
      <c r="H203" s="562" t="s">
        <v>134</v>
      </c>
      <c r="I203" s="562" t="s">
        <v>135</v>
      </c>
      <c r="J203" s="562" t="s">
        <v>136</v>
      </c>
      <c r="K203" s="562" t="s">
        <v>137</v>
      </c>
      <c r="L203" s="574" t="s">
        <v>138</v>
      </c>
      <c r="M203" s="562" t="s">
        <v>139</v>
      </c>
      <c r="N203" s="562" t="s">
        <v>140</v>
      </c>
      <c r="O203" s="562" t="s">
        <v>141</v>
      </c>
      <c r="P203" s="563" t="s">
        <v>723</v>
      </c>
      <c r="Q203" s="563" t="s">
        <v>774</v>
      </c>
      <c r="R203" s="563" t="s">
        <v>914</v>
      </c>
      <c r="S203" s="563" t="s">
        <v>1058</v>
      </c>
      <c r="T203" s="563" t="s">
        <v>1083</v>
      </c>
      <c r="U203" s="563" t="s">
        <v>1131</v>
      </c>
      <c r="V203" s="563" t="str">
        <f>+[31]EEFF_TE_Bra!V205</f>
        <v>2Q22</v>
      </c>
    </row>
    <row r="204" spans="2:22">
      <c r="B204" s="259" t="s">
        <v>249</v>
      </c>
      <c r="C204" s="59"/>
      <c r="D204" s="59"/>
      <c r="E204" s="59"/>
      <c r="F204" s="259"/>
      <c r="G204" s="59"/>
      <c r="H204" s="59"/>
      <c r="I204" s="59"/>
      <c r="J204" s="59"/>
      <c r="K204" s="59"/>
      <c r="L204" s="551"/>
      <c r="M204" s="59"/>
      <c r="N204" s="59"/>
      <c r="O204" s="59"/>
      <c r="P204" s="320"/>
      <c r="Q204" s="320"/>
      <c r="R204" s="320"/>
      <c r="S204" s="320"/>
      <c r="T204" s="320"/>
      <c r="U204" s="320"/>
      <c r="V204" s="320">
        <f>+[31]EEFF_TE_Bra!V206</f>
        <v>0</v>
      </c>
    </row>
    <row r="205" spans="2:22">
      <c r="B205" s="44" t="s">
        <v>250</v>
      </c>
      <c r="C205" s="58">
        <v>71679</v>
      </c>
      <c r="D205" s="58">
        <v>268588</v>
      </c>
      <c r="E205" s="58">
        <v>261786</v>
      </c>
      <c r="F205" s="58">
        <v>287106</v>
      </c>
      <c r="G205" s="58">
        <v>98254</v>
      </c>
      <c r="H205" s="58">
        <v>334067</v>
      </c>
      <c r="I205" s="58">
        <v>344159</v>
      </c>
      <c r="J205" s="58">
        <v>337890</v>
      </c>
      <c r="K205" s="58">
        <v>981588</v>
      </c>
      <c r="L205" s="318">
        <v>709928</v>
      </c>
      <c r="M205" s="58">
        <v>886355</v>
      </c>
      <c r="N205" s="58">
        <v>919444</v>
      </c>
      <c r="O205" s="58">
        <v>96334</v>
      </c>
      <c r="P205" s="316">
        <v>94628</v>
      </c>
      <c r="Q205" s="316">
        <v>461788</v>
      </c>
      <c r="R205" s="316">
        <v>1113809</v>
      </c>
      <c r="S205" s="316">
        <v>737590</v>
      </c>
      <c r="T205" s="316">
        <v>741848</v>
      </c>
      <c r="U205" s="316">
        <v>751685</v>
      </c>
      <c r="V205" s="316">
        <f>+[31]EEFF_TE_Bra!V207</f>
        <v>90627</v>
      </c>
    </row>
    <row r="206" spans="2:22">
      <c r="B206" s="44" t="s">
        <v>937</v>
      </c>
      <c r="C206" s="58">
        <v>192368</v>
      </c>
      <c r="D206" s="58">
        <v>182852</v>
      </c>
      <c r="E206" s="58">
        <v>183773</v>
      </c>
      <c r="F206" s="58">
        <v>183474</v>
      </c>
      <c r="G206" s="58">
        <v>197107</v>
      </c>
      <c r="H206" s="58">
        <v>23707</v>
      </c>
      <c r="I206" s="58">
        <v>22436</v>
      </c>
      <c r="J206" s="58">
        <v>15931</v>
      </c>
      <c r="K206" s="58">
        <v>26097</v>
      </c>
      <c r="L206" s="318">
        <v>367508</v>
      </c>
      <c r="M206" s="58">
        <v>371913</v>
      </c>
      <c r="N206" s="58">
        <v>363141</v>
      </c>
      <c r="O206" s="58">
        <v>542316</v>
      </c>
      <c r="P206" s="316">
        <v>217948</v>
      </c>
      <c r="Q206" s="316">
        <v>245489</v>
      </c>
      <c r="R206" s="316">
        <v>242011</v>
      </c>
      <c r="S206" s="316">
        <v>96144</v>
      </c>
      <c r="T206" s="316">
        <v>59341</v>
      </c>
      <c r="U206" s="316">
        <v>108342</v>
      </c>
      <c r="V206" s="316">
        <f>+[31]EEFF_TE_Bra!V208</f>
        <v>79687</v>
      </c>
    </row>
    <row r="207" spans="2:22">
      <c r="B207" s="44" t="s">
        <v>196</v>
      </c>
      <c r="C207" s="58">
        <v>0</v>
      </c>
      <c r="D207" s="58">
        <v>0</v>
      </c>
      <c r="E207" s="58">
        <v>0</v>
      </c>
      <c r="F207" s="58">
        <v>0</v>
      </c>
      <c r="G207" s="58">
        <v>0</v>
      </c>
      <c r="H207" s="58">
        <v>0</v>
      </c>
      <c r="I207" s="58">
        <v>0</v>
      </c>
      <c r="J207" s="58">
        <v>0</v>
      </c>
      <c r="K207" s="58">
        <v>293</v>
      </c>
      <c r="L207" s="318">
        <v>282</v>
      </c>
      <c r="M207" s="58">
        <v>240</v>
      </c>
      <c r="N207" s="58">
        <v>194</v>
      </c>
      <c r="O207" s="58">
        <v>141</v>
      </c>
      <c r="P207" s="316">
        <v>81</v>
      </c>
      <c r="Q207" s="316">
        <v>81</v>
      </c>
      <c r="R207" s="316">
        <v>63</v>
      </c>
      <c r="S207" s="316">
        <v>46</v>
      </c>
      <c r="T207" s="316">
        <v>28</v>
      </c>
      <c r="U207" s="316">
        <v>11703</v>
      </c>
      <c r="V207" s="316">
        <f>+[31]EEFF_TE_Bra!V209</f>
        <v>12875</v>
      </c>
    </row>
    <row r="208" spans="2:22">
      <c r="B208" s="44" t="s">
        <v>920</v>
      </c>
      <c r="C208" s="58"/>
      <c r="D208" s="58"/>
      <c r="E208" s="58"/>
      <c r="F208" s="58"/>
      <c r="G208" s="58"/>
      <c r="H208" s="58"/>
      <c r="I208" s="58"/>
      <c r="J208" s="58"/>
      <c r="K208" s="58"/>
      <c r="L208" s="316" t="s">
        <v>152</v>
      </c>
      <c r="M208" s="316" t="s">
        <v>152</v>
      </c>
      <c r="N208" s="316" t="s">
        <v>152</v>
      </c>
      <c r="O208" s="316" t="s">
        <v>152</v>
      </c>
      <c r="P208" s="316">
        <v>2578</v>
      </c>
      <c r="Q208" s="316">
        <v>0</v>
      </c>
      <c r="R208" s="316">
        <v>0</v>
      </c>
      <c r="S208" s="316">
        <v>0</v>
      </c>
      <c r="T208" s="316">
        <v>1931</v>
      </c>
      <c r="U208" s="316">
        <v>18142</v>
      </c>
      <c r="V208" s="316">
        <f>+[31]EEFF_TE_Bra!V210</f>
        <v>4263</v>
      </c>
    </row>
    <row r="209" spans="2:22">
      <c r="B209" s="44" t="s">
        <v>197</v>
      </c>
      <c r="C209" s="58">
        <v>41482</v>
      </c>
      <c r="D209" s="58">
        <v>69923</v>
      </c>
      <c r="E209" s="58">
        <v>49255</v>
      </c>
      <c r="F209" s="58">
        <v>58806</v>
      </c>
      <c r="G209" s="58">
        <v>68022</v>
      </c>
      <c r="H209" s="58">
        <v>88358</v>
      </c>
      <c r="I209" s="58">
        <v>72276</v>
      </c>
      <c r="J209" s="58">
        <v>70721</v>
      </c>
      <c r="K209" s="58">
        <v>72057</v>
      </c>
      <c r="L209" s="318">
        <v>167774</v>
      </c>
      <c r="M209" s="58">
        <v>167858</v>
      </c>
      <c r="N209" s="58">
        <v>139217</v>
      </c>
      <c r="O209" s="58">
        <v>112304</v>
      </c>
      <c r="P209" s="316">
        <v>153346</v>
      </c>
      <c r="Q209" s="316">
        <v>100371</v>
      </c>
      <c r="R209" s="316">
        <v>90525</v>
      </c>
      <c r="S209" s="316">
        <v>71377</v>
      </c>
      <c r="T209" s="316">
        <v>84465</v>
      </c>
      <c r="U209" s="316">
        <v>84169</v>
      </c>
      <c r="V209" s="316">
        <f>+[31]EEFF_TE_Bra!V211</f>
        <v>88701</v>
      </c>
    </row>
    <row r="210" spans="2:22">
      <c r="B210" s="44" t="s">
        <v>938</v>
      </c>
      <c r="C210" s="58">
        <v>39021</v>
      </c>
      <c r="D210" s="58">
        <v>90502</v>
      </c>
      <c r="E210" s="58">
        <v>224543</v>
      </c>
      <c r="F210" s="58">
        <v>389278</v>
      </c>
      <c r="G210" s="58">
        <v>540175</v>
      </c>
      <c r="H210" s="58">
        <v>54382</v>
      </c>
      <c r="I210" s="58">
        <v>163232</v>
      </c>
      <c r="J210" s="58">
        <v>293084</v>
      </c>
      <c r="K210" s="58">
        <v>287359</v>
      </c>
      <c r="L210" s="318">
        <v>92106</v>
      </c>
      <c r="M210" s="58">
        <v>127657</v>
      </c>
      <c r="N210" s="58">
        <v>262320</v>
      </c>
      <c r="O210" s="58">
        <v>478040</v>
      </c>
      <c r="P210" s="316">
        <v>255614</v>
      </c>
      <c r="Q210" s="316">
        <v>268737</v>
      </c>
      <c r="R210" s="316">
        <v>394085</v>
      </c>
      <c r="S210" s="316">
        <v>483437</v>
      </c>
      <c r="T210" s="316">
        <v>60990</v>
      </c>
      <c r="U210" s="316">
        <v>94776</v>
      </c>
      <c r="V210" s="316">
        <f>+[31]EEFF_TE_Bra!V212</f>
        <v>108596</v>
      </c>
    </row>
    <row r="211" spans="2:22">
      <c r="B211" s="44" t="s">
        <v>939</v>
      </c>
      <c r="C211" s="58">
        <v>17540</v>
      </c>
      <c r="D211" s="58">
        <v>57997</v>
      </c>
      <c r="E211" s="58">
        <v>0</v>
      </c>
      <c r="F211" s="58">
        <v>0</v>
      </c>
      <c r="G211" s="58">
        <v>0</v>
      </c>
      <c r="H211" s="58">
        <v>0</v>
      </c>
      <c r="I211" s="58">
        <v>0</v>
      </c>
      <c r="J211" s="58">
        <v>0</v>
      </c>
      <c r="K211" s="58">
        <v>0</v>
      </c>
      <c r="L211" s="318">
        <v>0</v>
      </c>
      <c r="M211" s="58">
        <v>0</v>
      </c>
      <c r="N211" s="58">
        <v>0</v>
      </c>
      <c r="O211" s="58">
        <v>0</v>
      </c>
      <c r="P211" s="316" t="s">
        <v>152</v>
      </c>
      <c r="Q211" s="316">
        <v>0</v>
      </c>
      <c r="R211" s="316">
        <v>0</v>
      </c>
      <c r="S211" s="316"/>
      <c r="T211" s="316">
        <v>6</v>
      </c>
      <c r="U211" s="316">
        <v>0</v>
      </c>
      <c r="V211" s="316">
        <f>+[31]EEFF_TE_Bra!V213</f>
        <v>0</v>
      </c>
    </row>
    <row r="212" spans="2:22">
      <c r="B212" s="44" t="s">
        <v>940</v>
      </c>
      <c r="C212" s="58">
        <v>12766</v>
      </c>
      <c r="D212" s="58">
        <v>16550</v>
      </c>
      <c r="E212" s="58">
        <v>32399</v>
      </c>
      <c r="F212" s="58">
        <v>39059</v>
      </c>
      <c r="G212" s="58">
        <v>39260</v>
      </c>
      <c r="H212" s="58">
        <v>40262</v>
      </c>
      <c r="I212" s="58">
        <v>39302</v>
      </c>
      <c r="J212" s="58">
        <v>44878</v>
      </c>
      <c r="K212" s="58">
        <v>45687</v>
      </c>
      <c r="L212" s="318">
        <v>48336</v>
      </c>
      <c r="M212" s="58">
        <v>48970</v>
      </c>
      <c r="N212" s="58">
        <v>52653</v>
      </c>
      <c r="O212" s="58">
        <v>52518</v>
      </c>
      <c r="P212" s="316">
        <v>49457</v>
      </c>
      <c r="Q212" s="316">
        <v>44836</v>
      </c>
      <c r="R212" s="316">
        <v>34900</v>
      </c>
      <c r="S212" s="316">
        <v>48778</v>
      </c>
      <c r="T212" s="316">
        <v>58371</v>
      </c>
      <c r="U212" s="316">
        <v>0</v>
      </c>
      <c r="V212" s="316">
        <f>+[31]EEFF_TE_Bra!V214</f>
        <v>0</v>
      </c>
    </row>
    <row r="213" spans="2:22">
      <c r="B213" s="44" t="s">
        <v>255</v>
      </c>
      <c r="C213" s="58"/>
      <c r="D213" s="58"/>
      <c r="E213" s="58"/>
      <c r="F213" s="58"/>
      <c r="G213" s="58"/>
      <c r="H213" s="58"/>
      <c r="I213" s="58"/>
      <c r="J213" s="58"/>
      <c r="K213" s="58"/>
      <c r="L213" s="318"/>
      <c r="M213" s="58"/>
      <c r="N213" s="58"/>
      <c r="O213" s="58"/>
      <c r="P213" s="316">
        <v>0</v>
      </c>
      <c r="Q213" s="316">
        <v>67260</v>
      </c>
      <c r="R213" s="316">
        <v>67330</v>
      </c>
      <c r="S213" s="316">
        <v>102</v>
      </c>
      <c r="T213" s="316">
        <v>0</v>
      </c>
      <c r="U213" s="316">
        <v>67687</v>
      </c>
      <c r="V213" s="316">
        <f>+[31]EEFF_TE_Bra!V215</f>
        <v>80393</v>
      </c>
    </row>
    <row r="214" spans="2:22">
      <c r="B214" s="44" t="s">
        <v>251</v>
      </c>
      <c r="C214" s="58">
        <v>139946</v>
      </c>
      <c r="D214" s="58">
        <v>3112</v>
      </c>
      <c r="E214" s="58">
        <v>3111</v>
      </c>
      <c r="F214" s="58">
        <v>5159</v>
      </c>
      <c r="G214" s="58">
        <v>5137</v>
      </c>
      <c r="H214" s="58">
        <v>7835</v>
      </c>
      <c r="I214" s="58">
        <v>7831</v>
      </c>
      <c r="J214" s="58">
        <v>7798</v>
      </c>
      <c r="K214" s="58">
        <v>8411</v>
      </c>
      <c r="L214" s="318">
        <v>102079</v>
      </c>
      <c r="M214" s="58">
        <v>9731</v>
      </c>
      <c r="N214" s="58">
        <v>10102</v>
      </c>
      <c r="O214" s="58">
        <v>10406</v>
      </c>
      <c r="P214" s="316">
        <v>500513</v>
      </c>
      <c r="Q214" s="316">
        <v>1068548</v>
      </c>
      <c r="R214" s="316">
        <v>16236</v>
      </c>
      <c r="S214" s="316">
        <v>13467</v>
      </c>
      <c r="T214" s="316">
        <v>110543</v>
      </c>
      <c r="U214" s="316">
        <v>12828</v>
      </c>
      <c r="V214" s="316">
        <f>+[31]EEFF_TE_Bra!V216</f>
        <v>16217</v>
      </c>
    </row>
    <row r="215" spans="2:22">
      <c r="B215" s="44" t="s">
        <v>199</v>
      </c>
      <c r="C215" s="58">
        <v>33610</v>
      </c>
      <c r="D215" s="58">
        <v>36344</v>
      </c>
      <c r="E215" s="58">
        <v>29714</v>
      </c>
      <c r="F215" s="58">
        <v>40457</v>
      </c>
      <c r="G215" s="58">
        <v>42515</v>
      </c>
      <c r="H215" s="58">
        <v>37047</v>
      </c>
      <c r="I215" s="58">
        <v>29156</v>
      </c>
      <c r="J215" s="58">
        <v>38239</v>
      </c>
      <c r="K215" s="58">
        <v>41182</v>
      </c>
      <c r="L215" s="318">
        <v>33341</v>
      </c>
      <c r="M215" s="58">
        <v>26512</v>
      </c>
      <c r="N215" s="58">
        <v>37797</v>
      </c>
      <c r="O215" s="58">
        <v>48833</v>
      </c>
      <c r="P215" s="316">
        <v>45094</v>
      </c>
      <c r="Q215" s="316">
        <v>36212</v>
      </c>
      <c r="R215" s="316">
        <v>45062</v>
      </c>
      <c r="S215" s="316">
        <v>50475</v>
      </c>
      <c r="T215" s="316">
        <v>46507</v>
      </c>
      <c r="U215" s="316">
        <v>36651</v>
      </c>
      <c r="V215" s="316">
        <f>+[31]EEFF_TE_Bra!V217</f>
        <v>47483</v>
      </c>
    </row>
    <row r="216" spans="2:22">
      <c r="B216" s="44" t="s">
        <v>932</v>
      </c>
      <c r="C216" s="58">
        <v>5495</v>
      </c>
      <c r="D216" s="58">
        <v>2056</v>
      </c>
      <c r="E216" s="58">
        <v>3309</v>
      </c>
      <c r="F216" s="58">
        <v>4655</v>
      </c>
      <c r="G216" s="58">
        <v>3579</v>
      </c>
      <c r="H216" s="58">
        <v>4250</v>
      </c>
      <c r="I216" s="58">
        <v>5103</v>
      </c>
      <c r="J216" s="58">
        <v>4157</v>
      </c>
      <c r="K216" s="58">
        <v>3782</v>
      </c>
      <c r="L216" s="318">
        <v>2173</v>
      </c>
      <c r="M216" s="58">
        <v>2176</v>
      </c>
      <c r="N216" s="58">
        <v>2730</v>
      </c>
      <c r="O216" s="58">
        <v>868</v>
      </c>
      <c r="P216" s="316">
        <v>871</v>
      </c>
      <c r="Q216" s="316">
        <v>855</v>
      </c>
      <c r="R216" s="316">
        <v>858</v>
      </c>
      <c r="S216" s="316">
        <v>858</v>
      </c>
      <c r="T216" s="316">
        <v>858</v>
      </c>
      <c r="U216" s="316">
        <v>939</v>
      </c>
      <c r="V216" s="316">
        <f>+[31]EEFF_TE_Bra!V218</f>
        <v>947</v>
      </c>
    </row>
    <row r="217" spans="2:22">
      <c r="B217" s="44" t="s">
        <v>200</v>
      </c>
      <c r="C217" s="58">
        <v>0</v>
      </c>
      <c r="D217" s="58">
        <v>0</v>
      </c>
      <c r="E217" s="58">
        <v>0</v>
      </c>
      <c r="F217" s="58">
        <v>0</v>
      </c>
      <c r="G217" s="58">
        <v>1860</v>
      </c>
      <c r="H217" s="58">
        <v>2480</v>
      </c>
      <c r="I217" s="58">
        <v>2480</v>
      </c>
      <c r="J217" s="58">
        <v>2480</v>
      </c>
      <c r="K217" s="58">
        <v>2480</v>
      </c>
      <c r="L217" s="318">
        <v>2480</v>
      </c>
      <c r="M217" s="58">
        <v>2480</v>
      </c>
      <c r="N217" s="58">
        <v>2480</v>
      </c>
      <c r="O217" s="58">
        <v>2480</v>
      </c>
      <c r="P217" s="316">
        <v>2480</v>
      </c>
      <c r="Q217" s="316">
        <v>2480</v>
      </c>
      <c r="R217" s="316">
        <v>2480</v>
      </c>
      <c r="S217" s="316">
        <v>2480</v>
      </c>
      <c r="T217" s="316">
        <v>2480</v>
      </c>
      <c r="U217" s="316">
        <v>0</v>
      </c>
      <c r="V217" s="316">
        <f>+[31]EEFF_TE_Bra!V219</f>
        <v>0</v>
      </c>
    </row>
    <row r="218" spans="2:22">
      <c r="B218" s="44" t="s">
        <v>869</v>
      </c>
      <c r="C218" s="58"/>
      <c r="D218" s="58"/>
      <c r="E218" s="58"/>
      <c r="F218" s="58"/>
      <c r="G218" s="58"/>
      <c r="H218" s="58"/>
      <c r="I218" s="58"/>
      <c r="J218" s="58"/>
      <c r="K218" s="58"/>
      <c r="L218" s="318"/>
      <c r="M218" s="58"/>
      <c r="N218" s="58"/>
      <c r="O218" s="58"/>
      <c r="P218" s="316">
        <v>0</v>
      </c>
      <c r="Q218" s="316">
        <v>3947</v>
      </c>
      <c r="R218" s="316">
        <v>0</v>
      </c>
      <c r="S218" s="316">
        <v>0</v>
      </c>
      <c r="T218" s="316">
        <v>0</v>
      </c>
      <c r="U218" s="316">
        <v>0</v>
      </c>
      <c r="V218" s="316">
        <f>+[31]EEFF_TE_Bra!V220</f>
        <v>0</v>
      </c>
    </row>
    <row r="219" spans="2:22">
      <c r="B219" s="44" t="s">
        <v>180</v>
      </c>
      <c r="C219" s="58">
        <v>53047</v>
      </c>
      <c r="D219" s="58">
        <v>61180</v>
      </c>
      <c r="E219" s="58">
        <v>57876</v>
      </c>
      <c r="F219" s="58">
        <v>16385</v>
      </c>
      <c r="G219" s="58">
        <v>13852</v>
      </c>
      <c r="H219" s="58">
        <v>34310</v>
      </c>
      <c r="I219" s="58">
        <v>27472</v>
      </c>
      <c r="J219" s="58">
        <v>56345</v>
      </c>
      <c r="K219" s="58">
        <v>70150</v>
      </c>
      <c r="L219" s="318">
        <v>80152</v>
      </c>
      <c r="M219" s="58">
        <v>55374</v>
      </c>
      <c r="N219" s="58">
        <v>34641</v>
      </c>
      <c r="O219" s="58">
        <v>45567</v>
      </c>
      <c r="P219" s="316">
        <v>43743</v>
      </c>
      <c r="Q219" s="316">
        <v>56916</v>
      </c>
      <c r="R219" s="316">
        <v>51763</v>
      </c>
      <c r="S219" s="316">
        <v>54158</v>
      </c>
      <c r="T219" s="316">
        <v>50707</v>
      </c>
      <c r="U219" s="316">
        <v>46192</v>
      </c>
      <c r="V219" s="316">
        <f>+[31]EEFF_TE_Bra!V221</f>
        <v>35605</v>
      </c>
    </row>
    <row r="220" spans="2:22">
      <c r="B220" s="257"/>
      <c r="C220" s="60">
        <f t="shared" ref="C220:N220" si="48">SUM(C205:C219)</f>
        <v>606954</v>
      </c>
      <c r="D220" s="60">
        <f t="shared" si="48"/>
        <v>789104</v>
      </c>
      <c r="E220" s="60">
        <f t="shared" si="48"/>
        <v>845766</v>
      </c>
      <c r="F220" s="60">
        <f t="shared" si="48"/>
        <v>1024379</v>
      </c>
      <c r="G220" s="60">
        <f t="shared" si="48"/>
        <v>1009761</v>
      </c>
      <c r="H220" s="60">
        <f t="shared" si="48"/>
        <v>626698</v>
      </c>
      <c r="I220" s="60">
        <f t="shared" si="48"/>
        <v>713447</v>
      </c>
      <c r="J220" s="60">
        <f t="shared" si="48"/>
        <v>871523</v>
      </c>
      <c r="K220" s="60">
        <f t="shared" si="48"/>
        <v>1539086</v>
      </c>
      <c r="L220" s="258">
        <f t="shared" si="48"/>
        <v>1606159</v>
      </c>
      <c r="M220" s="60">
        <f t="shared" si="48"/>
        <v>1699266</v>
      </c>
      <c r="N220" s="60">
        <f t="shared" si="48"/>
        <v>1824719</v>
      </c>
      <c r="O220" s="60">
        <f>SUM(O205:O219)</f>
        <v>1389807</v>
      </c>
      <c r="P220" s="319">
        <f>SUM(P205:P219)</f>
        <v>1366353</v>
      </c>
      <c r="Q220" s="319">
        <f>SUM(Q205:Q219)</f>
        <v>2357520</v>
      </c>
      <c r="R220" s="319">
        <f>SUM(R205:R219)</f>
        <v>2059122</v>
      </c>
      <c r="S220" s="319">
        <f t="shared" ref="S220:T220" si="49">SUM(S205:S219)</f>
        <v>1558912</v>
      </c>
      <c r="T220" s="319">
        <f t="shared" si="49"/>
        <v>1218075</v>
      </c>
      <c r="U220" s="319">
        <v>1233114</v>
      </c>
      <c r="V220" s="319">
        <f>+[31]EEFF_TE_Bra!V222</f>
        <v>565394</v>
      </c>
    </row>
    <row r="221" spans="2:22">
      <c r="B221" s="259" t="s">
        <v>252</v>
      </c>
      <c r="C221" s="59"/>
      <c r="D221" s="59"/>
      <c r="E221" s="59"/>
      <c r="F221" s="259"/>
      <c r="G221" s="59"/>
      <c r="H221" s="59"/>
      <c r="I221" s="59"/>
      <c r="J221" s="59"/>
      <c r="K221" s="59"/>
      <c r="L221" s="551"/>
      <c r="M221" s="59"/>
      <c r="N221" s="59"/>
      <c r="O221" s="59"/>
      <c r="P221" s="320"/>
      <c r="Q221" s="320"/>
      <c r="R221" s="320"/>
      <c r="S221" s="320"/>
      <c r="T221" s="320"/>
      <c r="U221" s="320"/>
      <c r="V221" s="320">
        <f>+[31]EEFF_TE_Bra!V223</f>
        <v>0</v>
      </c>
    </row>
    <row r="222" spans="2:22">
      <c r="B222" s="269" t="s">
        <v>253</v>
      </c>
      <c r="C222" s="270"/>
      <c r="D222" s="271"/>
      <c r="E222" s="271"/>
      <c r="F222" s="270"/>
      <c r="G222" s="270"/>
      <c r="H222" s="270"/>
      <c r="I222" s="270"/>
      <c r="J222" s="270"/>
      <c r="K222" s="270"/>
      <c r="L222" s="559"/>
      <c r="M222" s="270"/>
      <c r="N222" s="270"/>
      <c r="O222" s="270"/>
      <c r="P222" s="363"/>
      <c r="Q222" s="363"/>
      <c r="R222" s="363"/>
      <c r="S222" s="363"/>
      <c r="T222" s="363"/>
      <c r="U222" s="363"/>
      <c r="V222" s="363">
        <f>+[31]EEFF_TE_Bra!V224</f>
        <v>0</v>
      </c>
    </row>
    <row r="223" spans="2:22">
      <c r="B223" s="44" t="s">
        <v>250</v>
      </c>
      <c r="C223" s="58">
        <v>432472</v>
      </c>
      <c r="D223" s="58">
        <v>690541</v>
      </c>
      <c r="E223" s="58">
        <v>677182</v>
      </c>
      <c r="F223" s="58">
        <v>657248</v>
      </c>
      <c r="G223" s="58">
        <v>1258364</v>
      </c>
      <c r="H223" s="58">
        <v>1215689</v>
      </c>
      <c r="I223" s="58">
        <v>1273554</v>
      </c>
      <c r="J223" s="58">
        <v>1264523</v>
      </c>
      <c r="K223" s="58">
        <v>660197</v>
      </c>
      <c r="L223" s="318">
        <v>637448</v>
      </c>
      <c r="M223" s="58">
        <v>620011</v>
      </c>
      <c r="N223" s="58">
        <v>1248161</v>
      </c>
      <c r="O223" s="58">
        <v>1228231</v>
      </c>
      <c r="P223" s="318">
        <v>1208301</v>
      </c>
      <c r="Q223" s="318">
        <v>1182886</v>
      </c>
      <c r="R223" s="318">
        <v>1722627</v>
      </c>
      <c r="S223" s="316">
        <v>1721742</v>
      </c>
      <c r="T223" s="316">
        <v>1728681</v>
      </c>
      <c r="U223" s="316">
        <v>1953199</v>
      </c>
      <c r="V223" s="316">
        <f>+[31]EEFF_TE_Bra!V225</f>
        <v>1985056</v>
      </c>
    </row>
    <row r="224" spans="2:22">
      <c r="B224" s="44" t="s">
        <v>937</v>
      </c>
      <c r="C224" s="58">
        <v>313931</v>
      </c>
      <c r="D224" s="58">
        <v>801007</v>
      </c>
      <c r="E224" s="58">
        <v>806204</v>
      </c>
      <c r="F224" s="58">
        <v>1420052</v>
      </c>
      <c r="G224" s="58">
        <v>1437775</v>
      </c>
      <c r="H224" s="58">
        <v>1441504</v>
      </c>
      <c r="I224" s="58">
        <v>1457692</v>
      </c>
      <c r="J224" s="58">
        <v>1475140</v>
      </c>
      <c r="K224" s="58">
        <v>1480445</v>
      </c>
      <c r="L224" s="318">
        <v>1528971</v>
      </c>
      <c r="M224" s="58">
        <v>1554166</v>
      </c>
      <c r="N224" s="58">
        <v>1545549</v>
      </c>
      <c r="O224" s="58">
        <v>1392099</v>
      </c>
      <c r="P224" s="318">
        <v>2961318</v>
      </c>
      <c r="Q224" s="318">
        <v>3664357</v>
      </c>
      <c r="R224" s="318">
        <v>3707753</v>
      </c>
      <c r="S224" s="316">
        <v>3788738</v>
      </c>
      <c r="T224" s="316">
        <v>4829761</v>
      </c>
      <c r="U224" s="316">
        <v>4938992</v>
      </c>
      <c r="V224" s="316">
        <f>+[31]EEFF_TE_Bra!V226</f>
        <v>5783645</v>
      </c>
    </row>
    <row r="225" spans="2:22">
      <c r="B225" s="44" t="s">
        <v>196</v>
      </c>
      <c r="C225" s="58">
        <v>0</v>
      </c>
      <c r="D225" s="58">
        <v>0</v>
      </c>
      <c r="E225" s="58">
        <v>0</v>
      </c>
      <c r="F225" s="58">
        <v>0</v>
      </c>
      <c r="G225" s="58">
        <v>0</v>
      </c>
      <c r="H225" s="58">
        <v>0</v>
      </c>
      <c r="I225" s="58">
        <v>0</v>
      </c>
      <c r="J225" s="58">
        <v>0</v>
      </c>
      <c r="K225" s="58">
        <v>158</v>
      </c>
      <c r="L225" s="318">
        <v>101</v>
      </c>
      <c r="M225" s="58">
        <v>73</v>
      </c>
      <c r="N225" s="58">
        <v>62</v>
      </c>
      <c r="O225" s="58">
        <v>35</v>
      </c>
      <c r="P225" s="318">
        <v>18</v>
      </c>
      <c r="Q225" s="318">
        <v>0</v>
      </c>
      <c r="R225" s="318">
        <v>0</v>
      </c>
      <c r="S225" s="316">
        <v>0</v>
      </c>
      <c r="T225" s="316">
        <v>0</v>
      </c>
      <c r="U225" s="316">
        <v>42927</v>
      </c>
      <c r="V225" s="316">
        <f>+[31]EEFF_TE_Bra!V227</f>
        <v>39980</v>
      </c>
    </row>
    <row r="226" spans="2:22">
      <c r="B226" s="44" t="s">
        <v>177</v>
      </c>
      <c r="C226" s="58">
        <v>0</v>
      </c>
      <c r="D226" s="58">
        <v>0</v>
      </c>
      <c r="E226" s="58">
        <v>0</v>
      </c>
      <c r="F226" s="58">
        <v>0</v>
      </c>
      <c r="G226" s="58">
        <v>0</v>
      </c>
      <c r="H226" s="58">
        <v>0</v>
      </c>
      <c r="I226" s="58">
        <v>0</v>
      </c>
      <c r="J226" s="58">
        <v>2760</v>
      </c>
      <c r="K226" s="58">
        <v>0</v>
      </c>
      <c r="L226" s="318">
        <v>135</v>
      </c>
      <c r="M226" s="58">
        <v>0</v>
      </c>
      <c r="N226" s="58">
        <v>0</v>
      </c>
      <c r="O226" s="58">
        <v>0</v>
      </c>
      <c r="P226" s="318">
        <v>0</v>
      </c>
      <c r="Q226" s="318">
        <v>0</v>
      </c>
      <c r="R226" s="318">
        <v>0</v>
      </c>
      <c r="S226" s="316"/>
      <c r="T226" s="316">
        <v>0</v>
      </c>
      <c r="U226" s="316">
        <v>6561</v>
      </c>
      <c r="V226" s="316">
        <f>+[31]EEFF_TE_Bra!V228</f>
        <v>0</v>
      </c>
    </row>
    <row r="227" spans="2:22">
      <c r="B227" s="44" t="s">
        <v>197</v>
      </c>
      <c r="C227" s="58"/>
      <c r="D227" s="58"/>
      <c r="E227" s="58"/>
      <c r="F227" s="58"/>
      <c r="G227" s="58"/>
      <c r="H227" s="58"/>
      <c r="I227" s="58"/>
      <c r="J227" s="58"/>
      <c r="K227" s="58"/>
      <c r="L227" s="318"/>
      <c r="M227" s="58"/>
      <c r="N227" s="58"/>
      <c r="O227" s="58"/>
      <c r="P227" s="318">
        <v>0</v>
      </c>
      <c r="Q227" s="318">
        <v>0</v>
      </c>
      <c r="R227" s="318">
        <v>14535</v>
      </c>
      <c r="S227" s="316">
        <v>32213</v>
      </c>
      <c r="T227" s="316">
        <v>6336</v>
      </c>
      <c r="U227" s="316">
        <v>6323</v>
      </c>
      <c r="V227" s="316">
        <f>+[31]EEFF_TE_Bra!V229</f>
        <v>6308</v>
      </c>
    </row>
    <row r="228" spans="2:22">
      <c r="B228" s="44" t="s">
        <v>734</v>
      </c>
      <c r="C228" s="58"/>
      <c r="D228" s="58"/>
      <c r="E228" s="58"/>
      <c r="F228" s="58"/>
      <c r="G228" s="58"/>
      <c r="H228" s="58"/>
      <c r="I228" s="58"/>
      <c r="J228" s="58"/>
      <c r="K228" s="58"/>
      <c r="L228" s="316" t="s">
        <v>152</v>
      </c>
      <c r="M228" s="316" t="s">
        <v>152</v>
      </c>
      <c r="N228" s="316" t="s">
        <v>152</v>
      </c>
      <c r="O228" s="316" t="s">
        <v>152</v>
      </c>
      <c r="P228" s="318">
        <v>381978</v>
      </c>
      <c r="Q228" s="318">
        <v>394078</v>
      </c>
      <c r="R228" s="318">
        <v>406048</v>
      </c>
      <c r="S228" s="316">
        <v>417940</v>
      </c>
      <c r="T228" s="316">
        <v>465847</v>
      </c>
      <c r="U228" s="316">
        <v>481232</v>
      </c>
      <c r="V228" s="316">
        <f>+[31]EEFF_TE_Bra!V230</f>
        <v>496959</v>
      </c>
    </row>
    <row r="229" spans="2:22">
      <c r="B229" s="44" t="s">
        <v>939</v>
      </c>
      <c r="C229" s="58">
        <v>119857</v>
      </c>
      <c r="D229" s="58">
        <v>0</v>
      </c>
      <c r="E229" s="58">
        <v>0</v>
      </c>
      <c r="F229" s="58">
        <v>0</v>
      </c>
      <c r="G229" s="58">
        <v>0</v>
      </c>
      <c r="H229" s="58">
        <v>0</v>
      </c>
      <c r="I229" s="58">
        <v>0</v>
      </c>
      <c r="J229" s="58">
        <v>0</v>
      </c>
      <c r="K229" s="58">
        <v>0</v>
      </c>
      <c r="L229" s="318">
        <v>0</v>
      </c>
      <c r="M229" s="58">
        <v>0</v>
      </c>
      <c r="N229" s="58">
        <v>0</v>
      </c>
      <c r="O229" s="58">
        <v>0</v>
      </c>
      <c r="P229" s="318">
        <v>0</v>
      </c>
      <c r="Q229" s="318">
        <v>0</v>
      </c>
      <c r="R229" s="318">
        <v>0</v>
      </c>
      <c r="S229" s="316">
        <v>0</v>
      </c>
      <c r="T229" s="316">
        <v>0</v>
      </c>
      <c r="U229" s="316">
        <v>0</v>
      </c>
      <c r="V229" s="316">
        <f>+[31]EEFF_TE_Bra!V231</f>
        <v>0</v>
      </c>
    </row>
    <row r="230" spans="2:22">
      <c r="B230" s="44" t="s">
        <v>254</v>
      </c>
      <c r="C230" s="58">
        <v>0</v>
      </c>
      <c r="D230" s="58">
        <v>0</v>
      </c>
      <c r="E230" s="58">
        <v>0</v>
      </c>
      <c r="F230" s="58">
        <v>0</v>
      </c>
      <c r="G230" s="58">
        <v>0</v>
      </c>
      <c r="H230" s="58">
        <v>0</v>
      </c>
      <c r="I230" s="58">
        <v>0</v>
      </c>
      <c r="J230" s="58">
        <v>0</v>
      </c>
      <c r="K230" s="58">
        <v>0</v>
      </c>
      <c r="L230" s="318">
        <v>0</v>
      </c>
      <c r="M230" s="58">
        <v>0</v>
      </c>
      <c r="N230" s="58">
        <v>82703</v>
      </c>
      <c r="O230" s="58">
        <v>77117</v>
      </c>
      <c r="P230" s="318">
        <v>71465</v>
      </c>
      <c r="Q230" s="318">
        <v>65790</v>
      </c>
      <c r="R230" s="318">
        <v>50633</v>
      </c>
      <c r="S230" s="316">
        <v>53056</v>
      </c>
      <c r="T230" s="316">
        <v>50553</v>
      </c>
      <c r="U230" s="316">
        <v>50291</v>
      </c>
      <c r="V230" s="316">
        <f>+[31]EEFF_TE_Bra!V232</f>
        <v>50960</v>
      </c>
    </row>
    <row r="231" spans="2:22">
      <c r="B231" s="44" t="s">
        <v>255</v>
      </c>
      <c r="C231" s="58">
        <v>1056505</v>
      </c>
      <c r="D231" s="58">
        <v>831111</v>
      </c>
      <c r="E231" s="58">
        <v>810693</v>
      </c>
      <c r="F231" s="58">
        <v>769433</v>
      </c>
      <c r="G231" s="58">
        <v>710377</v>
      </c>
      <c r="H231" s="58">
        <v>735689</v>
      </c>
      <c r="I231" s="58">
        <v>757847</v>
      </c>
      <c r="J231" s="58">
        <v>721825</v>
      </c>
      <c r="K231" s="58">
        <v>660889</v>
      </c>
      <c r="L231" s="318">
        <v>686732</v>
      </c>
      <c r="M231" s="58">
        <v>713361</v>
      </c>
      <c r="N231" s="58">
        <v>1005975</v>
      </c>
      <c r="O231" s="58">
        <v>1074349</v>
      </c>
      <c r="P231" s="318">
        <v>913557</v>
      </c>
      <c r="Q231" s="318">
        <v>868910</v>
      </c>
      <c r="R231" s="318">
        <v>786903</v>
      </c>
      <c r="S231" s="316">
        <v>825416</v>
      </c>
      <c r="T231" s="316">
        <v>899825</v>
      </c>
      <c r="U231" s="316">
        <v>896426</v>
      </c>
      <c r="V231" s="316">
        <f>+[31]EEFF_TE_Bra!V233</f>
        <v>913961</v>
      </c>
    </row>
    <row r="232" spans="2:22">
      <c r="B232" s="44" t="s">
        <v>940</v>
      </c>
      <c r="C232" s="58">
        <v>32510</v>
      </c>
      <c r="D232" s="58">
        <v>54250</v>
      </c>
      <c r="E232" s="58">
        <v>40848</v>
      </c>
      <c r="F232" s="58">
        <v>42962</v>
      </c>
      <c r="G232" s="58">
        <v>34827</v>
      </c>
      <c r="H232" s="58">
        <v>35925</v>
      </c>
      <c r="I232" s="58">
        <v>39380</v>
      </c>
      <c r="J232" s="58">
        <v>37756</v>
      </c>
      <c r="K232" s="58">
        <v>41836</v>
      </c>
      <c r="L232" s="318">
        <v>41236</v>
      </c>
      <c r="M232" s="58">
        <v>34179</v>
      </c>
      <c r="N232" s="58">
        <v>40742</v>
      </c>
      <c r="O232" s="58">
        <v>42419</v>
      </c>
      <c r="P232" s="318">
        <v>48065</v>
      </c>
      <c r="Q232" s="318">
        <v>50331</v>
      </c>
      <c r="R232" s="318">
        <v>50036</v>
      </c>
      <c r="S232" s="316">
        <v>35141</v>
      </c>
      <c r="T232" s="316">
        <v>25559</v>
      </c>
      <c r="U232" s="316">
        <v>22461</v>
      </c>
      <c r="V232" s="316">
        <f>+[31]EEFF_TE_Bra!V234</f>
        <v>20532</v>
      </c>
    </row>
    <row r="233" spans="2:22">
      <c r="B233" s="44" t="s">
        <v>199</v>
      </c>
      <c r="C233" s="58">
        <v>153035</v>
      </c>
      <c r="D233" s="58">
        <v>121553</v>
      </c>
      <c r="E233" s="58">
        <v>125321</v>
      </c>
      <c r="F233" s="58">
        <v>113686</v>
      </c>
      <c r="G233" s="58">
        <v>102672</v>
      </c>
      <c r="H233" s="58">
        <v>90708</v>
      </c>
      <c r="I233" s="58">
        <v>91036</v>
      </c>
      <c r="J233" s="58">
        <v>92755</v>
      </c>
      <c r="K233" s="58">
        <v>86780</v>
      </c>
      <c r="L233" s="318">
        <v>62367</v>
      </c>
      <c r="M233" s="58">
        <v>59509</v>
      </c>
      <c r="N233" s="58">
        <v>58816</v>
      </c>
      <c r="O233" s="58">
        <v>57993</v>
      </c>
      <c r="P233" s="318">
        <v>85736</v>
      </c>
      <c r="Q233" s="318">
        <v>126098</v>
      </c>
      <c r="R233" s="318">
        <v>116409</v>
      </c>
      <c r="S233" s="316">
        <v>111585</v>
      </c>
      <c r="T233" s="316">
        <v>119407</v>
      </c>
      <c r="U233" s="316">
        <v>120263</v>
      </c>
      <c r="V233" s="316">
        <f>+[31]EEFF_TE_Bra!V235</f>
        <v>117193</v>
      </c>
    </row>
    <row r="234" spans="2:22" ht="14.5" customHeight="1">
      <c r="B234" s="44" t="s">
        <v>202</v>
      </c>
      <c r="C234" s="58">
        <v>0</v>
      </c>
      <c r="D234" s="58">
        <v>0</v>
      </c>
      <c r="E234" s="58">
        <v>0</v>
      </c>
      <c r="F234" s="58">
        <v>0</v>
      </c>
      <c r="G234" s="58">
        <v>0</v>
      </c>
      <c r="H234" s="58">
        <v>0</v>
      </c>
      <c r="I234" s="58">
        <v>0</v>
      </c>
      <c r="J234" s="58">
        <v>17853</v>
      </c>
      <c r="K234" s="58">
        <v>0</v>
      </c>
      <c r="L234" s="318">
        <v>16612</v>
      </c>
      <c r="M234" s="58">
        <v>15992</v>
      </c>
      <c r="N234" s="58">
        <v>15372</v>
      </c>
      <c r="O234" s="58">
        <v>14752</v>
      </c>
      <c r="P234" s="318">
        <v>14132</v>
      </c>
      <c r="Q234" s="318">
        <v>13512</v>
      </c>
      <c r="R234" s="318">
        <v>12892</v>
      </c>
      <c r="S234" s="316">
        <v>12272</v>
      </c>
      <c r="T234" s="316">
        <v>11652</v>
      </c>
      <c r="U234" s="316">
        <v>0</v>
      </c>
      <c r="V234" s="316">
        <f>+[31]EEFF_TE_Bra!V236</f>
        <v>0</v>
      </c>
    </row>
    <row r="235" spans="2:22">
      <c r="B235" s="44" t="s">
        <v>256</v>
      </c>
      <c r="C235" s="58">
        <v>0</v>
      </c>
      <c r="D235" s="58">
        <v>0</v>
      </c>
      <c r="E235" s="58">
        <v>0</v>
      </c>
      <c r="F235" s="58">
        <v>0</v>
      </c>
      <c r="G235" s="58">
        <v>333844</v>
      </c>
      <c r="H235" s="58">
        <v>0</v>
      </c>
      <c r="I235" s="58">
        <v>0</v>
      </c>
      <c r="J235" s="58">
        <v>363061</v>
      </c>
      <c r="K235" s="58">
        <v>0</v>
      </c>
      <c r="L235" s="318">
        <v>351904</v>
      </c>
      <c r="M235" s="58">
        <v>388616</v>
      </c>
      <c r="N235" s="58">
        <v>383471</v>
      </c>
      <c r="O235" s="58">
        <v>383984</v>
      </c>
      <c r="P235" s="318">
        <v>380135</v>
      </c>
      <c r="Q235" s="318">
        <v>397485</v>
      </c>
      <c r="R235" s="318">
        <v>393236</v>
      </c>
      <c r="S235" s="316">
        <v>389131</v>
      </c>
      <c r="T235" s="316">
        <v>384980</v>
      </c>
      <c r="U235" s="316">
        <v>469256</v>
      </c>
      <c r="V235" s="316">
        <f>+[31]EEFF_TE_Bra!V237</f>
        <v>469324</v>
      </c>
    </row>
    <row r="236" spans="2:22" ht="24" customHeight="1">
      <c r="B236" s="44" t="s">
        <v>941</v>
      </c>
      <c r="C236" s="58">
        <v>24053</v>
      </c>
      <c r="D236" s="58">
        <v>24053</v>
      </c>
      <c r="E236" s="58">
        <v>318578</v>
      </c>
      <c r="F236" s="58">
        <v>320021</v>
      </c>
      <c r="G236" s="58">
        <v>20333</v>
      </c>
      <c r="H236" s="58">
        <v>0</v>
      </c>
      <c r="I236" s="58">
        <v>0</v>
      </c>
      <c r="J236" s="58">
        <v>0</v>
      </c>
      <c r="K236" s="58">
        <v>0</v>
      </c>
      <c r="L236" s="318">
        <v>0</v>
      </c>
      <c r="M236" s="58">
        <v>0</v>
      </c>
      <c r="N236" s="58">
        <v>0</v>
      </c>
      <c r="O236" s="58">
        <v>0</v>
      </c>
      <c r="P236" s="316" t="s">
        <v>152</v>
      </c>
      <c r="Q236" s="316" t="s">
        <v>152</v>
      </c>
      <c r="R236" s="316" t="s">
        <v>152</v>
      </c>
      <c r="S236" s="316" t="s">
        <v>152</v>
      </c>
      <c r="T236" s="316">
        <v>0</v>
      </c>
      <c r="U236" s="316">
        <v>0</v>
      </c>
      <c r="V236" s="316">
        <f>+[31]EEFF_TE_Bra!V238</f>
        <v>0</v>
      </c>
    </row>
    <row r="237" spans="2:22">
      <c r="B237" s="44" t="s">
        <v>180</v>
      </c>
      <c r="C237" s="58">
        <v>0</v>
      </c>
      <c r="D237" s="58">
        <v>327579</v>
      </c>
      <c r="E237" s="58">
        <v>27455</v>
      </c>
      <c r="F237" s="58">
        <v>53841</v>
      </c>
      <c r="G237" s="58">
        <v>34532</v>
      </c>
      <c r="H237" s="58">
        <v>385101</v>
      </c>
      <c r="I237" s="58">
        <v>381705</v>
      </c>
      <c r="J237" s="58">
        <v>34572</v>
      </c>
      <c r="K237" s="58">
        <v>407469</v>
      </c>
      <c r="L237" s="318">
        <v>35652</v>
      </c>
      <c r="M237" s="58">
        <v>46714</v>
      </c>
      <c r="N237" s="58">
        <v>48201</v>
      </c>
      <c r="O237" s="58">
        <v>53134</v>
      </c>
      <c r="P237" s="318">
        <v>54032</v>
      </c>
      <c r="Q237" s="318">
        <v>11973</v>
      </c>
      <c r="R237" s="316">
        <v>12103</v>
      </c>
      <c r="S237" s="316">
        <v>12232</v>
      </c>
      <c r="T237" s="316">
        <v>3981</v>
      </c>
      <c r="U237" s="316">
        <v>4446</v>
      </c>
      <c r="V237" s="316">
        <f>+[31]EEFF_TE_Bra!V239</f>
        <v>4555</v>
      </c>
    </row>
    <row r="238" spans="2:22">
      <c r="B238" s="257"/>
      <c r="C238" s="60">
        <f t="shared" ref="C238:N238" si="50">SUM(C223:C237)</f>
        <v>2132363</v>
      </c>
      <c r="D238" s="60">
        <f t="shared" si="50"/>
        <v>2850094</v>
      </c>
      <c r="E238" s="60">
        <f t="shared" si="50"/>
        <v>2806281</v>
      </c>
      <c r="F238" s="60">
        <f t="shared" si="50"/>
        <v>3377243</v>
      </c>
      <c r="G238" s="60">
        <f t="shared" si="50"/>
        <v>3932724</v>
      </c>
      <c r="H238" s="60">
        <f t="shared" si="50"/>
        <v>3904616</v>
      </c>
      <c r="I238" s="60">
        <f t="shared" si="50"/>
        <v>4001214</v>
      </c>
      <c r="J238" s="60">
        <f t="shared" si="50"/>
        <v>4010245</v>
      </c>
      <c r="K238" s="60">
        <f t="shared" si="50"/>
        <v>3337774</v>
      </c>
      <c r="L238" s="258">
        <f t="shared" si="50"/>
        <v>3361158</v>
      </c>
      <c r="M238" s="60">
        <f t="shared" si="50"/>
        <v>3432621</v>
      </c>
      <c r="N238" s="60">
        <f t="shared" si="50"/>
        <v>4429052</v>
      </c>
      <c r="O238" s="60">
        <f>SUM(O223:O237)</f>
        <v>4324113</v>
      </c>
      <c r="P238" s="319">
        <f>SUM(P223:P237)</f>
        <v>6118737</v>
      </c>
      <c r="Q238" s="319">
        <f>SUM(Q223:Q237)</f>
        <v>6775420</v>
      </c>
      <c r="R238" s="319">
        <f>SUM(R223:R237)</f>
        <v>7273175</v>
      </c>
      <c r="S238" s="319">
        <f t="shared" ref="S238:T238" si="51">SUM(S223:S237)</f>
        <v>7399466</v>
      </c>
      <c r="T238" s="319">
        <f t="shared" si="51"/>
        <v>8526582</v>
      </c>
      <c r="U238" s="319">
        <v>8992377</v>
      </c>
      <c r="V238" s="319">
        <f>+[31]EEFF_TE_Bra!V240</f>
        <v>9888473</v>
      </c>
    </row>
    <row r="239" spans="2:22">
      <c r="B239" s="272"/>
      <c r="C239" s="273"/>
      <c r="D239" s="273"/>
      <c r="E239" s="273"/>
      <c r="F239" s="273"/>
      <c r="G239" s="273"/>
      <c r="H239" s="273"/>
      <c r="I239" s="273"/>
      <c r="J239" s="273"/>
      <c r="K239" s="273"/>
      <c r="L239" s="579"/>
      <c r="M239" s="273"/>
      <c r="N239" s="273"/>
      <c r="O239" s="273"/>
      <c r="P239" s="324"/>
      <c r="Q239" s="324"/>
      <c r="R239" s="324"/>
      <c r="S239" s="324"/>
      <c r="T239" s="324"/>
      <c r="V239" s="42">
        <f>+[31]EEFF_TE_Bra!V241</f>
        <v>0</v>
      </c>
    </row>
    <row r="240" spans="2:22">
      <c r="B240" s="44" t="s">
        <v>942</v>
      </c>
      <c r="C240" s="58">
        <v>178733</v>
      </c>
      <c r="D240" s="58">
        <v>214939</v>
      </c>
      <c r="E240" s="58">
        <v>201431</v>
      </c>
      <c r="F240" s="58">
        <v>212706</v>
      </c>
      <c r="G240" s="58">
        <v>226286</v>
      </c>
      <c r="H240" s="58">
        <v>230878</v>
      </c>
      <c r="I240" s="58">
        <v>282713</v>
      </c>
      <c r="J240" s="58">
        <v>287177</v>
      </c>
      <c r="K240" s="58">
        <v>273453</v>
      </c>
      <c r="L240" s="318">
        <v>1967288</v>
      </c>
      <c r="M240" s="58">
        <v>502442</v>
      </c>
      <c r="N240" s="58">
        <v>369210</v>
      </c>
      <c r="O240" s="58">
        <v>327872</v>
      </c>
      <c r="P240" s="316">
        <v>371159</v>
      </c>
      <c r="Q240" s="316">
        <v>355926</v>
      </c>
      <c r="R240" s="316">
        <v>348109</v>
      </c>
      <c r="S240" s="316">
        <v>390121</v>
      </c>
      <c r="T240" s="316">
        <v>393529</v>
      </c>
      <c r="U240" s="316">
        <v>409853</v>
      </c>
      <c r="V240" s="316">
        <f>+[31]EEFF_TE_Bra!V242</f>
        <v>434085</v>
      </c>
    </row>
    <row r="241" spans="2:22">
      <c r="B241" s="569"/>
      <c r="C241" s="570"/>
      <c r="D241" s="570"/>
      <c r="E241" s="570"/>
      <c r="F241" s="570"/>
      <c r="G241" s="570"/>
      <c r="H241" s="570"/>
      <c r="I241" s="570"/>
      <c r="J241" s="569"/>
      <c r="K241" s="570"/>
      <c r="L241" s="580"/>
      <c r="M241" s="570"/>
      <c r="N241" s="570"/>
      <c r="O241" s="570"/>
      <c r="P241" s="571"/>
      <c r="Q241" s="571"/>
      <c r="R241" s="571"/>
      <c r="S241" s="571"/>
      <c r="T241" s="571"/>
      <c r="U241" s="571"/>
      <c r="V241" s="571">
        <f>+[31]EEFF_TE_Bra!V243</f>
        <v>0</v>
      </c>
    </row>
    <row r="242" spans="2:22">
      <c r="B242" s="259" t="s">
        <v>257</v>
      </c>
      <c r="C242" s="59"/>
      <c r="D242" s="59"/>
      <c r="E242" s="59"/>
      <c r="F242" s="259"/>
      <c r="G242" s="59"/>
      <c r="H242" s="59"/>
      <c r="I242" s="59"/>
      <c r="J242" s="59"/>
      <c r="K242" s="59"/>
      <c r="L242" s="551"/>
      <c r="M242" s="59"/>
      <c r="N242" s="59"/>
      <c r="O242" s="59"/>
      <c r="P242" s="320"/>
      <c r="Q242" s="320"/>
      <c r="R242" s="320"/>
      <c r="S242" s="320"/>
      <c r="T242" s="320"/>
      <c r="U242" s="320"/>
      <c r="V242" s="320">
        <f>+[31]EEFF_TE_Bra!V244</f>
        <v>0</v>
      </c>
    </row>
    <row r="243" spans="2:22">
      <c r="B243" s="44" t="s">
        <v>258</v>
      </c>
      <c r="C243" s="58">
        <v>2372437</v>
      </c>
      <c r="D243" s="58">
        <v>3590020</v>
      </c>
      <c r="E243" s="58">
        <v>3590020</v>
      </c>
      <c r="F243" s="58">
        <v>3590020</v>
      </c>
      <c r="G243" s="58">
        <v>3590020</v>
      </c>
      <c r="H243" s="58">
        <v>3590020</v>
      </c>
      <c r="I243" s="58">
        <v>3590020</v>
      </c>
      <c r="J243" s="58">
        <v>3590020</v>
      </c>
      <c r="K243" s="58">
        <v>3590020</v>
      </c>
      <c r="L243" s="318">
        <v>3590020</v>
      </c>
      <c r="M243" s="58">
        <v>3590020</v>
      </c>
      <c r="N243" s="58">
        <v>3590020</v>
      </c>
      <c r="O243" s="58">
        <v>3590020</v>
      </c>
      <c r="P243" s="316">
        <v>3590020</v>
      </c>
      <c r="Q243" s="316">
        <v>3590020</v>
      </c>
      <c r="R243" s="316">
        <v>3590020</v>
      </c>
      <c r="S243" s="316">
        <v>3590020</v>
      </c>
      <c r="T243" s="316">
        <v>3590020</v>
      </c>
      <c r="U243" s="316">
        <v>3590020</v>
      </c>
      <c r="V243" s="316">
        <f>+[31]EEFF_TE_Bra!V245</f>
        <v>3590020</v>
      </c>
    </row>
    <row r="244" spans="2:22">
      <c r="B244" s="44" t="s">
        <v>206</v>
      </c>
      <c r="C244" s="58">
        <v>1217583</v>
      </c>
      <c r="D244" s="58">
        <v>666</v>
      </c>
      <c r="E244" s="58">
        <v>666</v>
      </c>
      <c r="F244" s="58">
        <v>666</v>
      </c>
      <c r="G244" s="58">
        <v>666</v>
      </c>
      <c r="H244" s="58">
        <v>666</v>
      </c>
      <c r="I244" s="58">
        <v>666</v>
      </c>
      <c r="J244" s="58">
        <v>666</v>
      </c>
      <c r="K244" s="58">
        <v>666</v>
      </c>
      <c r="L244" s="318">
        <v>666</v>
      </c>
      <c r="M244" s="58">
        <v>666</v>
      </c>
      <c r="N244" s="58">
        <v>666</v>
      </c>
      <c r="O244" s="58">
        <v>666</v>
      </c>
      <c r="P244" s="316">
        <v>-18380</v>
      </c>
      <c r="Q244" s="316">
        <v>-18380</v>
      </c>
      <c r="R244" s="316">
        <v>-18380</v>
      </c>
      <c r="S244" s="316">
        <v>-18380</v>
      </c>
      <c r="T244" s="316">
        <v>-18380</v>
      </c>
      <c r="U244" s="316">
        <v>666</v>
      </c>
      <c r="V244" s="316">
        <f>+[31]EEFF_TE_Bra!V246</f>
        <v>666</v>
      </c>
    </row>
    <row r="245" spans="2:22">
      <c r="B245" s="44" t="s">
        <v>259</v>
      </c>
      <c r="C245" s="58">
        <v>1127814</v>
      </c>
      <c r="D245" s="58">
        <v>1265967</v>
      </c>
      <c r="E245" s="58">
        <v>1402336</v>
      </c>
      <c r="F245" s="58">
        <v>557337</v>
      </c>
      <c r="G245" s="58">
        <v>557337</v>
      </c>
      <c r="H245" s="58">
        <v>760451</v>
      </c>
      <c r="I245" s="58">
        <v>760451</v>
      </c>
      <c r="J245" s="58">
        <v>760451</v>
      </c>
      <c r="K245" s="58">
        <v>760451</v>
      </c>
      <c r="L245" s="318">
        <v>1192078</v>
      </c>
      <c r="M245" s="58">
        <v>1192078</v>
      </c>
      <c r="N245" s="58">
        <v>1192078</v>
      </c>
      <c r="O245" s="58">
        <v>1192078</v>
      </c>
      <c r="P245" s="316">
        <v>1192077</v>
      </c>
      <c r="Q245" s="316">
        <v>5137515</v>
      </c>
      <c r="R245" s="316">
        <v>1336956</v>
      </c>
      <c r="S245" s="316">
        <v>5137515</v>
      </c>
      <c r="T245" s="316">
        <v>5137515</v>
      </c>
      <c r="U245" s="316">
        <v>1178494</v>
      </c>
      <c r="V245" s="316">
        <f>+[31]EEFF_TE_Bra!V247</f>
        <v>1284848</v>
      </c>
    </row>
    <row r="246" spans="2:22">
      <c r="B246" s="44" t="s">
        <v>260</v>
      </c>
      <c r="C246" s="58">
        <v>2264451</v>
      </c>
      <c r="D246" s="58">
        <v>2301266</v>
      </c>
      <c r="E246" s="58">
        <v>2249590</v>
      </c>
      <c r="F246" s="58">
        <v>2198516</v>
      </c>
      <c r="G246" s="58">
        <v>2148216</v>
      </c>
      <c r="H246" s="58">
        <v>2103510</v>
      </c>
      <c r="I246" s="58">
        <v>2047987</v>
      </c>
      <c r="J246" s="58">
        <v>1999817</v>
      </c>
      <c r="K246" s="58">
        <v>1949526</v>
      </c>
      <c r="L246" s="318">
        <v>1899993</v>
      </c>
      <c r="M246" s="58">
        <v>1844193</v>
      </c>
      <c r="N246" s="58">
        <v>1796207</v>
      </c>
      <c r="O246" s="58">
        <v>2162054</v>
      </c>
      <c r="P246" s="316">
        <v>2136052</v>
      </c>
      <c r="Q246" s="316">
        <v>2083781</v>
      </c>
      <c r="R246" s="316">
        <v>2028941</v>
      </c>
      <c r="S246" s="316">
        <v>1979327</v>
      </c>
      <c r="T246" s="316">
        <v>1929412</v>
      </c>
      <c r="U246" s="316">
        <v>1966378</v>
      </c>
      <c r="V246" s="316">
        <f>+[31]EEFF_TE_Bra!V248</f>
        <v>1920133</v>
      </c>
    </row>
    <row r="247" spans="2:22">
      <c r="B247" s="44" t="s">
        <v>733</v>
      </c>
      <c r="C247" s="58"/>
      <c r="D247" s="58"/>
      <c r="E247" s="58"/>
      <c r="F247" s="58"/>
      <c r="G247" s="58"/>
      <c r="H247" s="58"/>
      <c r="I247" s="58"/>
      <c r="J247" s="58"/>
      <c r="K247" s="58"/>
      <c r="L247" s="316" t="s">
        <v>152</v>
      </c>
      <c r="M247" s="316" t="s">
        <v>152</v>
      </c>
      <c r="N247" s="316" t="s">
        <v>152</v>
      </c>
      <c r="O247" s="316" t="s">
        <v>152</v>
      </c>
      <c r="P247" s="316">
        <v>-364659</v>
      </c>
      <c r="Q247" s="316">
        <v>-364659</v>
      </c>
      <c r="R247" s="316">
        <v>-240676</v>
      </c>
      <c r="S247" s="316">
        <v>-240676</v>
      </c>
      <c r="T247" s="316">
        <v>-401268</v>
      </c>
      <c r="U247" s="316">
        <v>0</v>
      </c>
      <c r="V247" s="316">
        <f>+[31]EEFF_TE_Bra!V249</f>
        <v>0</v>
      </c>
    </row>
    <row r="248" spans="2:22">
      <c r="B248" s="44" t="s">
        <v>261</v>
      </c>
      <c r="C248" s="58">
        <v>0</v>
      </c>
      <c r="D248" s="58">
        <v>0</v>
      </c>
      <c r="E248" s="58">
        <v>0</v>
      </c>
      <c r="F248" s="58">
        <v>0</v>
      </c>
      <c r="G248" s="58">
        <v>0</v>
      </c>
      <c r="H248" s="58">
        <v>73192</v>
      </c>
      <c r="I248" s="58">
        <v>73389</v>
      </c>
      <c r="J248" s="58">
        <v>70369</v>
      </c>
      <c r="K248" s="58">
        <v>77405</v>
      </c>
      <c r="L248" s="318">
        <v>31191</v>
      </c>
      <c r="M248" s="58">
        <v>63630</v>
      </c>
      <c r="N248" s="58">
        <v>62841</v>
      </c>
      <c r="O248" s="58">
        <v>53225</v>
      </c>
      <c r="P248" s="316">
        <v>140114</v>
      </c>
      <c r="Q248" s="316">
        <v>166602</v>
      </c>
      <c r="R248" s="316">
        <v>17481</v>
      </c>
      <c r="S248" s="316">
        <v>32053</v>
      </c>
      <c r="T248" s="316">
        <v>163890</v>
      </c>
      <c r="U248" s="316">
        <v>-283178</v>
      </c>
      <c r="V248" s="316">
        <f>+[31]EEFF_TE_Bra!V250</f>
        <v>-277910</v>
      </c>
    </row>
    <row r="249" spans="2:22">
      <c r="B249" s="44" t="s">
        <v>933</v>
      </c>
      <c r="C249" s="58">
        <v>666</v>
      </c>
      <c r="D249" s="58">
        <v>0</v>
      </c>
      <c r="E249" s="58">
        <v>0</v>
      </c>
      <c r="F249" s="58">
        <v>0</v>
      </c>
      <c r="G249" s="58">
        <v>0</v>
      </c>
      <c r="H249" s="58">
        <v>0</v>
      </c>
      <c r="I249" s="58">
        <v>0</v>
      </c>
      <c r="J249" s="58">
        <v>0</v>
      </c>
      <c r="K249" s="58">
        <v>0</v>
      </c>
      <c r="L249" s="318">
        <v>0</v>
      </c>
      <c r="M249" s="58">
        <v>0</v>
      </c>
      <c r="N249" s="58">
        <v>0</v>
      </c>
      <c r="O249" s="58">
        <v>0</v>
      </c>
      <c r="P249" s="316">
        <v>0</v>
      </c>
      <c r="Q249" s="316">
        <v>0</v>
      </c>
      <c r="R249" s="316">
        <v>0</v>
      </c>
      <c r="S249" s="316">
        <v>0</v>
      </c>
      <c r="T249" s="316">
        <v>0</v>
      </c>
      <c r="U249" s="316">
        <v>0</v>
      </c>
      <c r="V249" s="316">
        <f>+[31]EEFF_TE_Bra!V251</f>
        <v>0</v>
      </c>
    </row>
    <row r="250" spans="2:22">
      <c r="B250" s="44" t="s">
        <v>943</v>
      </c>
      <c r="C250" s="58">
        <v>0</v>
      </c>
      <c r="D250" s="58">
        <v>0</v>
      </c>
      <c r="E250" s="58">
        <v>301805</v>
      </c>
      <c r="F250" s="58">
        <v>692337</v>
      </c>
      <c r="G250" s="58">
        <v>930754</v>
      </c>
      <c r="H250" s="58">
        <v>0</v>
      </c>
      <c r="I250" s="58">
        <v>285711</v>
      </c>
      <c r="J250" s="58">
        <v>572057</v>
      </c>
      <c r="K250" s="58">
        <v>661539</v>
      </c>
      <c r="L250" s="318">
        <v>0</v>
      </c>
      <c r="M250" s="58">
        <v>364465</v>
      </c>
      <c r="N250" s="58">
        <v>1181218</v>
      </c>
      <c r="O250" s="58">
        <v>1528809</v>
      </c>
      <c r="P250" s="316">
        <v>1085973</v>
      </c>
      <c r="Q250" s="316">
        <v>-3551375</v>
      </c>
      <c r="R250" s="316">
        <v>556234</v>
      </c>
      <c r="S250" s="316">
        <v>-3330935</v>
      </c>
      <c r="T250" s="316">
        <v>-4122138</v>
      </c>
      <c r="U250" s="316">
        <v>0</v>
      </c>
      <c r="V250" s="316">
        <f>+[31]EEFF_TE_Bra!V252</f>
        <v>0</v>
      </c>
    </row>
    <row r="251" spans="2:22">
      <c r="B251" s="44" t="s">
        <v>944</v>
      </c>
      <c r="C251" s="58">
        <v>0</v>
      </c>
      <c r="D251" s="58">
        <v>84693</v>
      </c>
      <c r="E251" s="58">
        <v>0</v>
      </c>
      <c r="F251" s="58">
        <v>0</v>
      </c>
      <c r="G251" s="58">
        <v>0</v>
      </c>
      <c r="H251" s="58">
        <v>0</v>
      </c>
      <c r="I251" s="58">
        <v>0</v>
      </c>
      <c r="J251" s="58">
        <v>0</v>
      </c>
      <c r="K251" s="58">
        <v>0</v>
      </c>
      <c r="L251" s="318">
        <v>0</v>
      </c>
      <c r="M251" s="58">
        <v>0</v>
      </c>
      <c r="N251" s="58">
        <v>0</v>
      </c>
      <c r="O251" s="58">
        <v>0</v>
      </c>
      <c r="P251" s="316" t="s">
        <v>152</v>
      </c>
      <c r="Q251" s="316" t="s">
        <v>152</v>
      </c>
      <c r="R251" s="316" t="s">
        <v>152</v>
      </c>
      <c r="S251" s="316" t="s">
        <v>152</v>
      </c>
      <c r="T251" s="316" t="s">
        <v>152</v>
      </c>
      <c r="U251" s="316">
        <v>0</v>
      </c>
      <c r="V251" s="316">
        <f>+[31]EEFF_TE_Bra!V253</f>
        <v>0</v>
      </c>
    </row>
    <row r="252" spans="2:22">
      <c r="B252" s="257" t="s">
        <v>945</v>
      </c>
      <c r="C252" s="577">
        <f>SUM(C243:C251)</f>
        <v>6982951</v>
      </c>
      <c r="D252" s="577">
        <f t="shared" ref="D252:R252" si="52">SUM(D243:D251)</f>
        <v>7242612</v>
      </c>
      <c r="E252" s="577">
        <f t="shared" si="52"/>
        <v>7544417</v>
      </c>
      <c r="F252" s="577">
        <f t="shared" si="52"/>
        <v>7038876</v>
      </c>
      <c r="G252" s="577">
        <f t="shared" si="52"/>
        <v>7226993</v>
      </c>
      <c r="H252" s="577">
        <f t="shared" si="52"/>
        <v>6527839</v>
      </c>
      <c r="I252" s="577">
        <f t="shared" si="52"/>
        <v>6758224</v>
      </c>
      <c r="J252" s="577">
        <f t="shared" si="52"/>
        <v>6993380</v>
      </c>
      <c r="K252" s="577">
        <f t="shared" si="52"/>
        <v>7039607</v>
      </c>
      <c r="L252" s="319">
        <f t="shared" si="52"/>
        <v>6713948</v>
      </c>
      <c r="M252" s="577">
        <f t="shared" si="52"/>
        <v>7055052</v>
      </c>
      <c r="N252" s="577">
        <f t="shared" si="52"/>
        <v>7823030</v>
      </c>
      <c r="O252" s="577">
        <f t="shared" si="52"/>
        <v>8526852</v>
      </c>
      <c r="P252" s="319">
        <f t="shared" si="52"/>
        <v>7761197</v>
      </c>
      <c r="Q252" s="319">
        <f t="shared" si="52"/>
        <v>7043504</v>
      </c>
      <c r="R252" s="319">
        <f t="shared" si="52"/>
        <v>7270576</v>
      </c>
      <c r="S252" s="319">
        <f>SUM(S243:S251)</f>
        <v>7148924</v>
      </c>
      <c r="T252" s="319">
        <f>SUM(T243:T251)</f>
        <v>6279051</v>
      </c>
      <c r="U252" s="319">
        <v>6452380</v>
      </c>
      <c r="V252" s="319">
        <f>+[31]EEFF_TE_Bra!V254</f>
        <v>6517757</v>
      </c>
    </row>
    <row r="253" spans="2:22">
      <c r="B253" s="257" t="s">
        <v>946</v>
      </c>
      <c r="C253" s="577">
        <f t="shared" ref="C253:T253" si="53">SUM(C252+C240+C238+C220)</f>
        <v>9901001</v>
      </c>
      <c r="D253" s="577">
        <f t="shared" si="53"/>
        <v>11096749</v>
      </c>
      <c r="E253" s="577">
        <f t="shared" si="53"/>
        <v>11397895</v>
      </c>
      <c r="F253" s="577">
        <f t="shared" si="53"/>
        <v>11653204</v>
      </c>
      <c r="G253" s="577">
        <f t="shared" si="53"/>
        <v>12395764</v>
      </c>
      <c r="H253" s="577">
        <f t="shared" si="53"/>
        <v>11290031</v>
      </c>
      <c r="I253" s="577">
        <f t="shared" si="53"/>
        <v>11755598</v>
      </c>
      <c r="J253" s="577">
        <f t="shared" si="53"/>
        <v>12162325</v>
      </c>
      <c r="K253" s="577">
        <f t="shared" si="53"/>
        <v>12189920</v>
      </c>
      <c r="L253" s="319">
        <f t="shared" si="53"/>
        <v>13648553</v>
      </c>
      <c r="M253" s="577">
        <f t="shared" si="53"/>
        <v>12689381</v>
      </c>
      <c r="N253" s="577">
        <f t="shared" si="53"/>
        <v>14446011</v>
      </c>
      <c r="O253" s="577">
        <f t="shared" si="53"/>
        <v>14568644</v>
      </c>
      <c r="P253" s="319">
        <f>SUM(P252+P240+P238+P220)</f>
        <v>15617446</v>
      </c>
      <c r="Q253" s="319">
        <f>SUM(Q252+Q240+Q238+Q220)</f>
        <v>16532370</v>
      </c>
      <c r="R253" s="319">
        <f t="shared" si="53"/>
        <v>16950982</v>
      </c>
      <c r="S253" s="319">
        <f t="shared" si="53"/>
        <v>16497423</v>
      </c>
      <c r="T253" s="319">
        <f t="shared" si="53"/>
        <v>16417237</v>
      </c>
      <c r="U253" s="319">
        <v>17087724</v>
      </c>
      <c r="V253" s="319">
        <f>+[31]EEFF_TE_Bra!V255</f>
        <v>17405709</v>
      </c>
    </row>
    <row r="254" spans="2:22">
      <c r="C254" s="568">
        <f>+C200-C253</f>
        <v>1</v>
      </c>
      <c r="D254" s="568">
        <f t="shared" ref="D254:S254" si="54">+D200-D253</f>
        <v>-9.4939999282360077E-2</v>
      </c>
      <c r="E254" s="568">
        <f t="shared" si="54"/>
        <v>0</v>
      </c>
      <c r="F254" s="568">
        <f t="shared" si="54"/>
        <v>11861</v>
      </c>
      <c r="G254" s="568">
        <f t="shared" si="54"/>
        <v>0</v>
      </c>
      <c r="H254" s="568">
        <f t="shared" si="54"/>
        <v>0</v>
      </c>
      <c r="I254" s="568">
        <f t="shared" si="54"/>
        <v>0</v>
      </c>
      <c r="J254" s="568">
        <f t="shared" si="54"/>
        <v>0</v>
      </c>
      <c r="K254" s="568">
        <f t="shared" si="54"/>
        <v>0</v>
      </c>
      <c r="L254" s="568">
        <f t="shared" si="54"/>
        <v>0</v>
      </c>
      <c r="M254" s="568">
        <f t="shared" si="54"/>
        <v>0</v>
      </c>
      <c r="N254" s="568">
        <f t="shared" si="54"/>
        <v>0</v>
      </c>
      <c r="O254" s="568">
        <f t="shared" si="54"/>
        <v>0</v>
      </c>
      <c r="P254" s="568">
        <f t="shared" si="54"/>
        <v>0</v>
      </c>
      <c r="Q254" s="568">
        <f t="shared" si="54"/>
        <v>0</v>
      </c>
      <c r="R254" s="568">
        <f t="shared" si="54"/>
        <v>0</v>
      </c>
      <c r="S254" s="568">
        <f t="shared" si="54"/>
        <v>0</v>
      </c>
    </row>
    <row r="255" spans="2:22" ht="110.25" customHeight="1">
      <c r="B255" s="761" t="s">
        <v>736</v>
      </c>
      <c r="C255" s="761"/>
      <c r="D255" s="761"/>
      <c r="E255" s="761"/>
      <c r="F255" s="761"/>
      <c r="G255" s="761"/>
      <c r="H255" s="761"/>
      <c r="I255" s="761"/>
    </row>
    <row r="258" spans="2:2" ht="15">
      <c r="B258" s="12" t="s">
        <v>1148</v>
      </c>
    </row>
    <row r="259" spans="2:2">
      <c r="B259" s="2" t="s">
        <v>1146</v>
      </c>
    </row>
    <row r="260" spans="2:2">
      <c r="B260" s="2"/>
    </row>
    <row r="261" spans="2:2" ht="15">
      <c r="B261" s="12" t="s">
        <v>1149</v>
      </c>
    </row>
    <row r="262" spans="2:2">
      <c r="B262" s="2" t="s">
        <v>1147</v>
      </c>
    </row>
  </sheetData>
  <mergeCells count="10">
    <mergeCell ref="B255:I255"/>
    <mergeCell ref="B202:B203"/>
    <mergeCell ref="C202:P202"/>
    <mergeCell ref="B6:B7"/>
    <mergeCell ref="B47:B48"/>
    <mergeCell ref="C47:P47"/>
    <mergeCell ref="B132:B133"/>
    <mergeCell ref="C132:P132"/>
    <mergeCell ref="B167:B168"/>
    <mergeCell ref="C167:P167"/>
  </mergeCells>
  <phoneticPr fontId="204" type="noConversion"/>
  <hyperlinks>
    <hyperlink ref="A1" location="Contenido!A1" display="Volver al Contenido" xr:uid="{9F556960-DC0A-46BB-A11C-17A4D194205C}"/>
    <hyperlink ref="B259" r:id="rId1" xr:uid="{DA09408C-87F1-4AF8-BDE9-8CBA5103F901}"/>
    <hyperlink ref="B262" r:id="rId2" display="https://ri.taesa.com.br/" xr:uid="{0CB7565B-3137-4174-A4F1-4C10EB570CE3}"/>
  </hyperlinks>
  <pageMargins left="0.7" right="0.7" top="0.75" bottom="0.75" header="0.3" footer="0.3"/>
  <pageSetup orientation="portrait" r:id="rId3"/>
  <customProperties>
    <customPr name="_pios_id" r:id="rId4"/>
    <customPr name="EpmWorksheetKeyString_GUID" r:id="rId5"/>
  </customPropertie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dimension ref="A1:N12"/>
  <sheetViews>
    <sheetView showGridLines="0" zoomScale="90" zoomScaleNormal="90" workbookViewId="0">
      <selection activeCell="D17" sqref="D17"/>
    </sheetView>
  </sheetViews>
  <sheetFormatPr baseColWidth="10" defaultColWidth="11.453125" defaultRowHeight="14.5"/>
  <cols>
    <col min="1" max="1" width="3.81640625" customWidth="1"/>
    <col min="2" max="2" width="49.1796875" customWidth="1"/>
    <col min="3" max="3" width="17.453125" customWidth="1"/>
    <col min="4" max="4" width="15.81640625" customWidth="1"/>
    <col min="5" max="5" width="19.54296875" customWidth="1"/>
    <col min="6" max="6" width="16.1796875" customWidth="1"/>
    <col min="7" max="7" width="15" customWidth="1"/>
    <col min="8" max="8" width="19.1796875" customWidth="1"/>
    <col min="9" max="9" width="20.453125" customWidth="1"/>
    <col min="10" max="10" width="16.1796875" customWidth="1"/>
    <col min="11" max="11" width="15" customWidth="1"/>
    <col min="12" max="12" width="17.54296875" customWidth="1"/>
    <col min="13" max="13" width="19.81640625" customWidth="1"/>
    <col min="14" max="14" width="20.7265625" customWidth="1"/>
  </cols>
  <sheetData>
    <row r="1" spans="1:14">
      <c r="A1" s="2" t="s">
        <v>16</v>
      </c>
      <c r="B1" s="46"/>
      <c r="C1" s="46"/>
      <c r="D1" s="46"/>
      <c r="E1" s="46"/>
      <c r="F1" s="46"/>
      <c r="G1" s="46"/>
      <c r="H1" s="46"/>
      <c r="I1" s="46"/>
      <c r="J1" s="46"/>
      <c r="K1" s="46"/>
      <c r="L1" s="46"/>
      <c r="M1" s="46"/>
      <c r="N1" s="46"/>
    </row>
    <row r="2" spans="1:14" s="46" customFormat="1">
      <c r="A2" s="2"/>
    </row>
    <row r="3" spans="1:14" s="46" customFormat="1">
      <c r="A3" s="2"/>
    </row>
    <row r="4" spans="1:14">
      <c r="B4" s="46"/>
      <c r="C4" s="46"/>
      <c r="D4" s="46"/>
      <c r="E4" s="46"/>
      <c r="F4" s="46"/>
      <c r="G4" s="46"/>
      <c r="H4" s="46"/>
      <c r="I4" s="46"/>
      <c r="J4" s="46"/>
      <c r="K4" s="46"/>
      <c r="L4" s="46"/>
      <c r="M4" s="46"/>
      <c r="N4" s="46"/>
    </row>
    <row r="5" spans="1:14">
      <c r="A5" s="46"/>
      <c r="B5" s="46"/>
      <c r="C5" s="46"/>
      <c r="D5" s="46"/>
      <c r="E5" s="46"/>
      <c r="F5" s="46"/>
      <c r="G5" s="46"/>
      <c r="H5" s="46"/>
      <c r="I5" s="46"/>
      <c r="J5" s="46"/>
      <c r="K5" s="46"/>
      <c r="L5" s="46"/>
      <c r="M5" s="46"/>
      <c r="N5" s="46"/>
    </row>
    <row r="6" spans="1:14" s="46" customFormat="1"/>
    <row r="7" spans="1:14">
      <c r="A7" s="46"/>
      <c r="B7" s="55"/>
      <c r="C7" s="55"/>
      <c r="D7" s="55"/>
      <c r="E7" s="55"/>
      <c r="F7" s="55"/>
      <c r="G7" s="55"/>
      <c r="H7" s="55"/>
      <c r="I7" s="55"/>
      <c r="J7" s="55"/>
      <c r="K7" s="55"/>
      <c r="L7" s="55"/>
      <c r="M7" s="55"/>
      <c r="N7" s="55"/>
    </row>
    <row r="8" spans="1:14" ht="15.5">
      <c r="A8" s="46"/>
      <c r="B8" s="244"/>
      <c r="C8" s="245" t="s">
        <v>262</v>
      </c>
      <c r="D8" s="245" t="s">
        <v>263</v>
      </c>
      <c r="E8" s="245" t="s">
        <v>264</v>
      </c>
      <c r="F8" s="245" t="s">
        <v>265</v>
      </c>
      <c r="G8" s="245" t="s">
        <v>266</v>
      </c>
      <c r="H8" s="245" t="s">
        <v>267</v>
      </c>
      <c r="I8" s="245" t="s">
        <v>268</v>
      </c>
      <c r="J8" s="245" t="s">
        <v>269</v>
      </c>
      <c r="K8" s="245" t="s">
        <v>270</v>
      </c>
      <c r="L8" s="245" t="s">
        <v>271</v>
      </c>
      <c r="M8" s="245" t="s">
        <v>272</v>
      </c>
      <c r="N8" s="245" t="s">
        <v>273</v>
      </c>
    </row>
    <row r="9" spans="1:14" ht="15.5">
      <c r="B9" s="146" t="s">
        <v>274</v>
      </c>
      <c r="C9" s="147">
        <v>371.96316566000002</v>
      </c>
      <c r="D9" s="147">
        <v>545.19834692999996</v>
      </c>
      <c r="E9" s="147">
        <v>1156.0304259700001</v>
      </c>
      <c r="F9" s="147">
        <v>1156.0304259700001</v>
      </c>
      <c r="G9" s="147">
        <v>1156.0304259700001</v>
      </c>
      <c r="H9" s="147">
        <v>1156.0304259700001</v>
      </c>
      <c r="I9" s="147">
        <v>1156.0304259700001</v>
      </c>
      <c r="J9" s="147">
        <v>0</v>
      </c>
      <c r="K9" s="147">
        <v>0</v>
      </c>
      <c r="L9" s="147">
        <v>0</v>
      </c>
      <c r="M9" s="147">
        <v>0</v>
      </c>
      <c r="N9" s="147">
        <v>0</v>
      </c>
    </row>
    <row r="10" spans="1:14" ht="15.5">
      <c r="B10" s="146" t="s">
        <v>275</v>
      </c>
      <c r="C10" s="147">
        <v>694</v>
      </c>
      <c r="D10" s="147">
        <v>694</v>
      </c>
      <c r="E10" s="147">
        <v>496</v>
      </c>
      <c r="F10" s="147">
        <v>496</v>
      </c>
      <c r="G10" s="147">
        <v>496</v>
      </c>
      <c r="H10" s="147">
        <v>496</v>
      </c>
      <c r="I10" s="147">
        <v>496</v>
      </c>
      <c r="J10" s="147">
        <v>92</v>
      </c>
      <c r="K10" s="147">
        <v>92</v>
      </c>
      <c r="L10" s="147">
        <v>92</v>
      </c>
      <c r="M10" s="147">
        <v>92</v>
      </c>
      <c r="N10" s="147">
        <v>92</v>
      </c>
    </row>
    <row r="11" spans="1:14" s="46" customFormat="1" ht="15.5">
      <c r="B11" s="146" t="s">
        <v>411</v>
      </c>
      <c r="C11" s="147">
        <f>+SUM(C9:C10)</f>
        <v>1065.96316566</v>
      </c>
      <c r="D11" s="147">
        <f t="shared" ref="D11:N11" si="0">+SUM(D9:D10)</f>
        <v>1239.1983469299998</v>
      </c>
      <c r="E11" s="147">
        <f t="shared" si="0"/>
        <v>1652.0304259700001</v>
      </c>
      <c r="F11" s="147">
        <f t="shared" si="0"/>
        <v>1652.0304259700001</v>
      </c>
      <c r="G11" s="147">
        <f t="shared" si="0"/>
        <v>1652.0304259700001</v>
      </c>
      <c r="H11" s="147">
        <f t="shared" si="0"/>
        <v>1652.0304259700001</v>
      </c>
      <c r="I11" s="147">
        <f t="shared" si="0"/>
        <v>1652.0304259700001</v>
      </c>
      <c r="J11" s="147">
        <f t="shared" si="0"/>
        <v>92</v>
      </c>
      <c r="K11" s="147">
        <f t="shared" si="0"/>
        <v>92</v>
      </c>
      <c r="L11" s="147">
        <f t="shared" si="0"/>
        <v>92</v>
      </c>
      <c r="M11" s="147">
        <f t="shared" si="0"/>
        <v>92</v>
      </c>
      <c r="N11" s="147">
        <f t="shared" si="0"/>
        <v>92</v>
      </c>
    </row>
    <row r="12" spans="1:14">
      <c r="D12" s="46"/>
      <c r="E12" s="46"/>
      <c r="F12" s="46"/>
      <c r="G12" s="46"/>
    </row>
  </sheetData>
  <hyperlinks>
    <hyperlink ref="A1" location="Contenido!A1" display="Volver al Contenido" xr:uid="{DD20A34D-7A27-4CEA-8E96-C7E78466C61F}"/>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1757-ABB2-488E-97AD-2519C04C0BE0}">
  <dimension ref="A1:X275"/>
  <sheetViews>
    <sheetView showGridLines="0" zoomScale="90" zoomScaleNormal="90" workbookViewId="0">
      <pane xSplit="2" ySplit="7" topLeftCell="W192" activePane="bottomRight" state="frozen"/>
      <selection pane="topRight" activeCell="C1" sqref="C1"/>
      <selection pane="bottomLeft" activeCell="A7" sqref="A7"/>
      <selection pane="bottomRight"/>
    </sheetView>
  </sheetViews>
  <sheetFormatPr baseColWidth="10" defaultColWidth="11.453125" defaultRowHeight="14.5"/>
  <cols>
    <col min="1" max="1" width="3.1796875" style="46" customWidth="1"/>
    <col min="2" max="2" width="83" style="46" customWidth="1"/>
    <col min="3" max="3" width="20.453125" style="46" customWidth="1"/>
    <col min="4" max="14" width="14.453125" style="46" customWidth="1"/>
    <col min="15" max="16" width="14" style="42" bestFit="1" customWidth="1"/>
    <col min="17" max="17" width="13.81640625" style="46" customWidth="1"/>
    <col min="18" max="19" width="13.54296875" style="46" bestFit="1" customWidth="1"/>
    <col min="20" max="20" width="14.1796875" style="46" bestFit="1" customWidth="1"/>
    <col min="21" max="21" width="5.7265625" style="46" customWidth="1"/>
    <col min="22" max="22" width="65.1796875" style="46" bestFit="1" customWidth="1"/>
    <col min="23" max="24" width="16.1796875" style="46" bestFit="1" customWidth="1"/>
    <col min="25" max="16384" width="11.453125" style="46"/>
  </cols>
  <sheetData>
    <row r="1" spans="1:24">
      <c r="A1" s="2" t="s">
        <v>16</v>
      </c>
      <c r="I1" s="39"/>
      <c r="J1" s="39"/>
      <c r="K1" s="39"/>
      <c r="L1" s="39"/>
    </row>
    <row r="2" spans="1:24">
      <c r="C2" s="10"/>
      <c r="D2" s="10"/>
      <c r="M2" s="10"/>
      <c r="N2" s="10"/>
    </row>
    <row r="3" spans="1:24" ht="15.5">
      <c r="A3" s="56" t="s">
        <v>104</v>
      </c>
      <c r="B3" s="12" t="s">
        <v>276</v>
      </c>
      <c r="C3" s="118"/>
      <c r="D3" s="118"/>
      <c r="E3" s="122"/>
      <c r="F3" s="78"/>
      <c r="G3" s="78"/>
      <c r="H3" s="78"/>
      <c r="I3" s="78"/>
      <c r="J3" s="78"/>
      <c r="K3" s="78"/>
      <c r="L3" s="78"/>
      <c r="M3" s="78"/>
      <c r="N3" s="78"/>
      <c r="O3" s="281"/>
      <c r="P3" s="281"/>
    </row>
    <row r="4" spans="1:24" ht="15.5">
      <c r="B4" s="14" t="s">
        <v>277</v>
      </c>
      <c r="C4" s="118"/>
      <c r="D4" s="118"/>
      <c r="E4" s="78"/>
      <c r="F4" s="78"/>
      <c r="G4" s="78"/>
      <c r="H4" s="78"/>
      <c r="I4" s="122"/>
      <c r="J4" s="78"/>
      <c r="K4" s="78"/>
      <c r="L4" s="78"/>
      <c r="M4" s="78"/>
      <c r="N4" s="78"/>
      <c r="O4" s="281"/>
      <c r="P4" s="281"/>
    </row>
    <row r="5" spans="1:24" ht="15.5">
      <c r="B5" s="14"/>
      <c r="C5" s="118"/>
      <c r="D5" s="118">
        <v>100</v>
      </c>
      <c r="E5" s="78"/>
      <c r="F5" s="78"/>
      <c r="G5" s="78"/>
      <c r="H5" s="78"/>
      <c r="I5" s="122"/>
      <c r="J5" s="78"/>
      <c r="K5" s="78"/>
      <c r="L5" s="78"/>
      <c r="M5" s="78"/>
      <c r="N5" s="78"/>
      <c r="O5" s="281"/>
      <c r="P5" s="281"/>
    </row>
    <row r="6" spans="1:24" ht="15.5">
      <c r="B6" s="35"/>
      <c r="C6" s="43"/>
      <c r="D6" s="43"/>
      <c r="E6" s="116"/>
      <c r="F6" s="122"/>
      <c r="G6" s="78"/>
      <c r="H6" s="78"/>
      <c r="I6" s="43"/>
      <c r="J6" s="43"/>
      <c r="K6" s="43"/>
      <c r="L6" s="43"/>
      <c r="M6" s="122"/>
      <c r="N6" s="78"/>
      <c r="O6" s="281"/>
      <c r="P6" s="281"/>
    </row>
    <row r="7" spans="1:24" ht="15">
      <c r="B7" s="282"/>
      <c r="C7" s="283">
        <v>2016</v>
      </c>
      <c r="D7" s="283">
        <v>2017</v>
      </c>
      <c r="E7" s="283" t="s">
        <v>19</v>
      </c>
      <c r="F7" s="283" t="s">
        <v>20</v>
      </c>
      <c r="G7" s="283" t="s">
        <v>21</v>
      </c>
      <c r="H7" s="283" t="s">
        <v>22</v>
      </c>
      <c r="I7" s="283" t="s">
        <v>23</v>
      </c>
      <c r="J7" s="283" t="s">
        <v>24</v>
      </c>
      <c r="K7" s="283" t="s">
        <v>25</v>
      </c>
      <c r="L7" s="283" t="s">
        <v>26</v>
      </c>
      <c r="M7" s="283" t="s">
        <v>27</v>
      </c>
      <c r="N7" s="283" t="s">
        <v>28</v>
      </c>
      <c r="O7" s="283" t="s">
        <v>29</v>
      </c>
      <c r="P7" s="284" t="s">
        <v>722</v>
      </c>
      <c r="Q7" s="275" t="s">
        <v>739</v>
      </c>
      <c r="R7" s="283" t="s">
        <v>912</v>
      </c>
      <c r="S7" s="283" t="s">
        <v>1051</v>
      </c>
      <c r="T7" s="283" t="s">
        <v>1089</v>
      </c>
      <c r="W7" s="283" t="s">
        <v>1109</v>
      </c>
      <c r="X7" s="283" t="s">
        <v>1190</v>
      </c>
    </row>
    <row r="8" spans="1:24" ht="15.5">
      <c r="B8" s="150"/>
      <c r="C8" s="35"/>
      <c r="D8" s="35"/>
      <c r="E8" s="35"/>
      <c r="F8" s="35"/>
      <c r="G8" s="35"/>
      <c r="H8" s="35"/>
      <c r="I8" s="35"/>
      <c r="J8" s="35"/>
      <c r="K8" s="35"/>
      <c r="L8" s="35"/>
      <c r="M8" s="35"/>
      <c r="N8" s="35"/>
      <c r="O8" s="35"/>
      <c r="P8" s="285"/>
      <c r="R8" s="167"/>
      <c r="S8" s="167"/>
      <c r="T8" s="167"/>
    </row>
    <row r="9" spans="1:24" ht="15.5">
      <c r="B9" s="83" t="s">
        <v>30</v>
      </c>
      <c r="C9" s="118">
        <v>283605</v>
      </c>
      <c r="D9" s="118">
        <v>156095</v>
      </c>
      <c r="E9" s="118">
        <v>21042</v>
      </c>
      <c r="F9" s="118">
        <v>15734</v>
      </c>
      <c r="G9" s="118">
        <v>11662</v>
      </c>
      <c r="H9" s="118">
        <v>10577</v>
      </c>
      <c r="I9" s="118">
        <v>5408</v>
      </c>
      <c r="J9" s="118">
        <v>4090</v>
      </c>
      <c r="K9" s="118">
        <v>7748</v>
      </c>
      <c r="L9" s="118">
        <v>27746</v>
      </c>
      <c r="M9" s="118">
        <v>24712</v>
      </c>
      <c r="N9" s="118">
        <v>30552</v>
      </c>
      <c r="O9" s="118">
        <v>54420</v>
      </c>
      <c r="P9" s="286">
        <v>46560</v>
      </c>
      <c r="Q9" s="169">
        <v>35725</v>
      </c>
      <c r="R9" s="169">
        <v>38346</v>
      </c>
      <c r="S9" s="169">
        <v>43835.227249999996</v>
      </c>
      <c r="T9" s="169">
        <v>56591</v>
      </c>
      <c r="V9" s="83" t="s">
        <v>30</v>
      </c>
      <c r="W9" s="169">
        <v>21122.73374</v>
      </c>
      <c r="X9" s="169">
        <f>+[32]EEFF_TE_Per!X9</f>
        <v>28203.26626</v>
      </c>
    </row>
    <row r="10" spans="1:24" ht="15.5">
      <c r="B10" s="83" t="s">
        <v>31</v>
      </c>
      <c r="C10" s="118">
        <v>283605</v>
      </c>
      <c r="D10" s="118">
        <v>155944</v>
      </c>
      <c r="E10" s="118">
        <v>20965</v>
      </c>
      <c r="F10" s="118">
        <v>15766</v>
      </c>
      <c r="G10" s="118">
        <v>11648</v>
      </c>
      <c r="H10" s="118">
        <v>10920</v>
      </c>
      <c r="I10" s="118">
        <v>5408</v>
      </c>
      <c r="J10" s="118">
        <v>4089</v>
      </c>
      <c r="K10" s="118">
        <v>7747</v>
      </c>
      <c r="L10" s="118">
        <v>27746</v>
      </c>
      <c r="M10" s="118">
        <v>24712</v>
      </c>
      <c r="N10" s="118">
        <v>30552</v>
      </c>
      <c r="O10" s="118">
        <v>54420</v>
      </c>
      <c r="P10" s="286">
        <v>46560</v>
      </c>
      <c r="Q10" s="169">
        <v>35725</v>
      </c>
      <c r="R10" s="169">
        <v>38346</v>
      </c>
      <c r="S10" s="169">
        <v>43835.227249999996</v>
      </c>
      <c r="T10" s="169">
        <v>56591</v>
      </c>
      <c r="V10" s="83" t="s">
        <v>31</v>
      </c>
      <c r="W10" s="169">
        <v>21122.73374</v>
      </c>
      <c r="X10" s="169">
        <f>+[32]EEFF_TE_Per!X10</f>
        <v>28203.26626</v>
      </c>
    </row>
    <row r="11" spans="1:24" ht="15.5">
      <c r="B11" s="142" t="s">
        <v>32</v>
      </c>
      <c r="C11" s="151">
        <f t="shared" ref="C11:N11" si="0">+C9-C10</f>
        <v>0</v>
      </c>
      <c r="D11" s="151">
        <f t="shared" si="0"/>
        <v>151</v>
      </c>
      <c r="E11" s="151">
        <f t="shared" si="0"/>
        <v>77</v>
      </c>
      <c r="F11" s="151">
        <f t="shared" si="0"/>
        <v>-32</v>
      </c>
      <c r="G11" s="151">
        <f t="shared" si="0"/>
        <v>14</v>
      </c>
      <c r="H11" s="151">
        <f t="shared" si="0"/>
        <v>-343</v>
      </c>
      <c r="I11" s="151">
        <f t="shared" si="0"/>
        <v>0</v>
      </c>
      <c r="J11" s="151">
        <f t="shared" si="0"/>
        <v>1</v>
      </c>
      <c r="K11" s="151">
        <f t="shared" si="0"/>
        <v>1</v>
      </c>
      <c r="L11" s="151">
        <f t="shared" si="0"/>
        <v>0</v>
      </c>
      <c r="M11" s="151">
        <f t="shared" si="0"/>
        <v>0</v>
      </c>
      <c r="N11" s="151">
        <f t="shared" si="0"/>
        <v>0</v>
      </c>
      <c r="O11" s="151">
        <v>0</v>
      </c>
      <c r="P11" s="287">
        <f>+P9-P10</f>
        <v>0</v>
      </c>
      <c r="Q11" s="171">
        <f>+Q9-Q10</f>
        <v>0</v>
      </c>
      <c r="R11" s="171">
        <v>0</v>
      </c>
      <c r="S11" s="171">
        <v>0</v>
      </c>
      <c r="T11" s="171">
        <v>0</v>
      </c>
      <c r="V11" s="142" t="s">
        <v>1129</v>
      </c>
      <c r="W11" s="171">
        <v>0</v>
      </c>
      <c r="X11" s="171">
        <f>+[32]EEFF_TE_Per!X11</f>
        <v>0</v>
      </c>
    </row>
    <row r="12" spans="1:24" ht="15.5">
      <c r="B12" s="150"/>
      <c r="C12" s="9"/>
      <c r="D12" s="9"/>
      <c r="E12" s="9"/>
      <c r="F12" s="9"/>
      <c r="G12" s="9"/>
      <c r="H12" s="9"/>
      <c r="I12" s="9"/>
      <c r="J12" s="9"/>
      <c r="K12" s="9"/>
      <c r="L12" s="9"/>
      <c r="M12" s="9"/>
      <c r="N12" s="9"/>
      <c r="O12" s="9"/>
      <c r="P12" s="285"/>
      <c r="Q12" s="167"/>
      <c r="R12" s="167"/>
      <c r="S12" s="167"/>
      <c r="T12" s="167"/>
      <c r="V12" s="83"/>
      <c r="W12" s="167"/>
      <c r="X12" s="167">
        <f>+[32]EEFF_TE_Per!X12</f>
        <v>0</v>
      </c>
    </row>
    <row r="13" spans="1:24" ht="15.5">
      <c r="B13" s="83" t="s">
        <v>107</v>
      </c>
      <c r="C13" s="118">
        <v>121258</v>
      </c>
      <c r="D13" s="118">
        <v>125996</v>
      </c>
      <c r="E13" s="118">
        <v>42359</v>
      </c>
      <c r="F13" s="118">
        <v>43410</v>
      </c>
      <c r="G13" s="118">
        <v>42480</v>
      </c>
      <c r="H13" s="118">
        <v>43239</v>
      </c>
      <c r="I13" s="118">
        <v>46246</v>
      </c>
      <c r="J13" s="118">
        <v>47154</v>
      </c>
      <c r="K13" s="118">
        <v>46529</v>
      </c>
      <c r="L13" s="118">
        <v>46991</v>
      </c>
      <c r="M13" s="118">
        <v>44865</v>
      </c>
      <c r="N13" s="118">
        <v>47587</v>
      </c>
      <c r="O13" s="118">
        <v>49031</v>
      </c>
      <c r="P13" s="286">
        <v>48720</v>
      </c>
      <c r="Q13" s="169">
        <v>47787</v>
      </c>
      <c r="R13" s="169">
        <v>47924</v>
      </c>
      <c r="S13" s="169">
        <v>47947.756540000002</v>
      </c>
      <c r="T13" s="169">
        <v>47584</v>
      </c>
      <c r="V13" s="83" t="str">
        <f>+B13</f>
        <v>Servicios de transmisión de energía eléctrica</v>
      </c>
      <c r="W13" s="169">
        <v>48135.080750000001</v>
      </c>
      <c r="X13" s="169">
        <f>+[32]EEFF_TE_Per!X13</f>
        <v>50917.919249999999</v>
      </c>
    </row>
    <row r="14" spans="1:24" ht="15.5">
      <c r="B14" s="83" t="s">
        <v>278</v>
      </c>
      <c r="C14" s="118">
        <v>0</v>
      </c>
      <c r="D14" s="118">
        <v>2893</v>
      </c>
      <c r="E14" s="118">
        <v>674</v>
      </c>
      <c r="F14" s="118">
        <v>757</v>
      </c>
      <c r="G14" s="118">
        <v>794</v>
      </c>
      <c r="H14" s="118">
        <v>1091</v>
      </c>
      <c r="I14" s="118">
        <v>766</v>
      </c>
      <c r="J14" s="118">
        <v>762</v>
      </c>
      <c r="K14" s="118">
        <v>740</v>
      </c>
      <c r="L14" s="118">
        <v>644</v>
      </c>
      <c r="M14" s="118">
        <v>784</v>
      </c>
      <c r="N14" s="118">
        <v>784</v>
      </c>
      <c r="O14" s="118">
        <v>1043</v>
      </c>
      <c r="P14" s="286">
        <v>802</v>
      </c>
      <c r="Q14" s="169">
        <v>808</v>
      </c>
      <c r="R14" s="169">
        <v>988</v>
      </c>
      <c r="S14" s="169">
        <v>1126.14345</v>
      </c>
      <c r="T14" s="169">
        <v>1076</v>
      </c>
      <c r="V14" s="83" t="str">
        <f t="shared" ref="V14:V16" si="1">+B14</f>
        <v>Ingresos complementarios</v>
      </c>
      <c r="W14" s="169">
        <v>1172.7984899999999</v>
      </c>
      <c r="X14" s="169">
        <f>+[32]EEFF_TE_Per!X14</f>
        <v>1162.2015100000001</v>
      </c>
    </row>
    <row r="15" spans="1:24" ht="15.5">
      <c r="B15" s="83" t="s">
        <v>39</v>
      </c>
      <c r="C15" s="118">
        <v>0</v>
      </c>
      <c r="D15" s="118">
        <v>0</v>
      </c>
      <c r="E15" s="118">
        <v>0</v>
      </c>
      <c r="F15" s="118">
        <v>0</v>
      </c>
      <c r="G15" s="118">
        <v>0</v>
      </c>
      <c r="H15" s="118">
        <v>0</v>
      </c>
      <c r="I15" s="118">
        <v>0</v>
      </c>
      <c r="J15" s="118">
        <v>0</v>
      </c>
      <c r="K15" s="118">
        <v>0</v>
      </c>
      <c r="L15" s="118">
        <v>0</v>
      </c>
      <c r="M15" s="118">
        <v>0</v>
      </c>
      <c r="N15" s="118">
        <v>0</v>
      </c>
      <c r="O15" s="118">
        <v>0</v>
      </c>
      <c r="P15" s="286">
        <v>67</v>
      </c>
      <c r="Q15" s="169">
        <v>0</v>
      </c>
      <c r="R15" s="169">
        <v>0</v>
      </c>
      <c r="S15" s="169">
        <v>0</v>
      </c>
      <c r="T15" s="169">
        <v>0</v>
      </c>
      <c r="V15" s="83" t="str">
        <f t="shared" si="1"/>
        <v>Otros ingresos operacionales</v>
      </c>
      <c r="W15" s="169">
        <v>45.049150000000004</v>
      </c>
      <c r="X15" s="169">
        <f>+[32]EEFF_TE_Per!X15</f>
        <v>18.950849999999996</v>
      </c>
    </row>
    <row r="16" spans="1:24" ht="15.5">
      <c r="B16" s="83" t="s">
        <v>40</v>
      </c>
      <c r="C16" s="118">
        <v>14580</v>
      </c>
      <c r="D16" s="118">
        <v>14982</v>
      </c>
      <c r="E16" s="118">
        <v>4565</v>
      </c>
      <c r="F16" s="118">
        <v>4724</v>
      </c>
      <c r="G16" s="118">
        <v>4252</v>
      </c>
      <c r="H16" s="118">
        <v>4744</v>
      </c>
      <c r="I16" s="118">
        <v>4767</v>
      </c>
      <c r="J16" s="118">
        <v>5434</v>
      </c>
      <c r="K16" s="118">
        <v>5453</v>
      </c>
      <c r="L16" s="118">
        <f>5864-17</f>
        <v>5847</v>
      </c>
      <c r="M16" s="118">
        <v>5235</v>
      </c>
      <c r="N16" s="118">
        <v>5249</v>
      </c>
      <c r="O16" s="118">
        <v>4468</v>
      </c>
      <c r="P16" s="286">
        <v>5694</v>
      </c>
      <c r="Q16" s="169">
        <v>5189</v>
      </c>
      <c r="R16" s="169">
        <v>4773</v>
      </c>
      <c r="S16" s="169">
        <v>4937.1898500000007</v>
      </c>
      <c r="T16" s="169">
        <v>5197</v>
      </c>
      <c r="V16" s="83" t="str">
        <f t="shared" si="1"/>
        <v>Costos y gastos AOM</v>
      </c>
      <c r="W16" s="169">
        <v>5919.2042000000001</v>
      </c>
      <c r="X16" s="169">
        <f>+[32]EEFF_TE_Per!X16</f>
        <v>5588.7957999999999</v>
      </c>
    </row>
    <row r="17" spans="2:24" ht="15.5">
      <c r="B17" s="142" t="s">
        <v>41</v>
      </c>
      <c r="C17" s="151">
        <f t="shared" ref="C17:N17" si="2">+SUM(C13:C15)-C16</f>
        <v>106678</v>
      </c>
      <c r="D17" s="151">
        <f t="shared" si="2"/>
        <v>113907</v>
      </c>
      <c r="E17" s="151">
        <f t="shared" si="2"/>
        <v>38468</v>
      </c>
      <c r="F17" s="151">
        <f t="shared" si="2"/>
        <v>39443</v>
      </c>
      <c r="G17" s="151">
        <f t="shared" si="2"/>
        <v>39022</v>
      </c>
      <c r="H17" s="151">
        <f t="shared" si="2"/>
        <v>39586</v>
      </c>
      <c r="I17" s="151">
        <f t="shared" si="2"/>
        <v>42245</v>
      </c>
      <c r="J17" s="151">
        <f t="shared" si="2"/>
        <v>42482</v>
      </c>
      <c r="K17" s="151">
        <f t="shared" si="2"/>
        <v>41816</v>
      </c>
      <c r="L17" s="151">
        <f t="shared" si="2"/>
        <v>41788</v>
      </c>
      <c r="M17" s="151">
        <f t="shared" si="2"/>
        <v>40414</v>
      </c>
      <c r="N17" s="151">
        <f t="shared" si="2"/>
        <v>43122</v>
      </c>
      <c r="O17" s="151">
        <v>45606</v>
      </c>
      <c r="P17" s="287">
        <f>+SUM(P13:P15)-P16</f>
        <v>43895</v>
      </c>
      <c r="Q17" s="171">
        <f>+SUM(Q13:Q15)-Q16</f>
        <v>43406</v>
      </c>
      <c r="R17" s="171">
        <v>44139</v>
      </c>
      <c r="S17" s="171">
        <v>44136.710140000003</v>
      </c>
      <c r="T17" s="171">
        <f>+SUM(T13:T15)-T16</f>
        <v>43463</v>
      </c>
      <c r="V17" s="83" t="s">
        <v>43</v>
      </c>
      <c r="W17" s="171">
        <v>13388.61721</v>
      </c>
      <c r="X17" s="171">
        <f>+[32]EEFF_TE_Per!X17</f>
        <v>13394.38279</v>
      </c>
    </row>
    <row r="18" spans="2:24" ht="15.5">
      <c r="B18" s="85" t="s">
        <v>42</v>
      </c>
      <c r="C18" s="119">
        <f t="shared" ref="C18:N18" si="3">+C11+C17</f>
        <v>106678</v>
      </c>
      <c r="D18" s="119">
        <f t="shared" si="3"/>
        <v>114058</v>
      </c>
      <c r="E18" s="119">
        <f t="shared" si="3"/>
        <v>38545</v>
      </c>
      <c r="F18" s="119">
        <f t="shared" si="3"/>
        <v>39411</v>
      </c>
      <c r="G18" s="119">
        <f t="shared" si="3"/>
        <v>39036</v>
      </c>
      <c r="H18" s="119">
        <f t="shared" si="3"/>
        <v>39243</v>
      </c>
      <c r="I18" s="119">
        <f t="shared" si="3"/>
        <v>42245</v>
      </c>
      <c r="J18" s="119">
        <f t="shared" si="3"/>
        <v>42483</v>
      </c>
      <c r="K18" s="119">
        <f t="shared" si="3"/>
        <v>41817</v>
      </c>
      <c r="L18" s="119">
        <f t="shared" si="3"/>
        <v>41788</v>
      </c>
      <c r="M18" s="119">
        <f t="shared" si="3"/>
        <v>40414</v>
      </c>
      <c r="N18" s="119">
        <f t="shared" si="3"/>
        <v>43122</v>
      </c>
      <c r="O18" s="119">
        <v>45606</v>
      </c>
      <c r="P18" s="288">
        <f>+P11+P17</f>
        <v>43895</v>
      </c>
      <c r="Q18" s="173">
        <f>+Q11+Q17</f>
        <v>43406</v>
      </c>
      <c r="R18" s="173">
        <v>44139</v>
      </c>
      <c r="S18" s="173">
        <v>44136.710140000003</v>
      </c>
      <c r="T18" s="173">
        <f>+T11+T17</f>
        <v>43463</v>
      </c>
      <c r="V18" s="639" t="s">
        <v>1130</v>
      </c>
      <c r="W18" s="173">
        <v>30045.10698</v>
      </c>
      <c r="X18" s="173">
        <f>+[32]EEFF_TE_Per!X18</f>
        <v>33115.893020000003</v>
      </c>
    </row>
    <row r="19" spans="2:24" ht="15.5">
      <c r="B19" s="82"/>
      <c r="C19" s="9"/>
      <c r="D19" s="9"/>
      <c r="E19" s="9"/>
      <c r="F19" s="9"/>
      <c r="G19" s="9"/>
      <c r="H19" s="9"/>
      <c r="I19" s="9"/>
      <c r="J19" s="9"/>
      <c r="K19" s="9"/>
      <c r="L19" s="9"/>
      <c r="M19" s="9"/>
      <c r="N19" s="9"/>
      <c r="O19" s="9"/>
      <c r="P19" s="285"/>
      <c r="Q19" s="167"/>
      <c r="R19" s="167"/>
      <c r="S19" s="167"/>
      <c r="T19" s="167"/>
      <c r="V19" s="82"/>
      <c r="X19" s="46">
        <f>+[32]EEFF_TE_Per!X19</f>
        <v>0</v>
      </c>
    </row>
    <row r="20" spans="2:24" ht="15.5">
      <c r="B20" s="83" t="s">
        <v>43</v>
      </c>
      <c r="C20" s="118">
        <v>32486</v>
      </c>
      <c r="D20" s="118">
        <v>35279</v>
      </c>
      <c r="E20" s="118">
        <v>13382</v>
      </c>
      <c r="F20" s="118">
        <v>13871</v>
      </c>
      <c r="G20" s="118">
        <v>13742</v>
      </c>
      <c r="H20" s="118">
        <v>12613</v>
      </c>
      <c r="I20" s="118">
        <v>13488</v>
      </c>
      <c r="J20" s="118">
        <v>13464</v>
      </c>
      <c r="K20" s="118">
        <v>13471</v>
      </c>
      <c r="L20" s="118">
        <v>12325</v>
      </c>
      <c r="M20" s="118">
        <v>14146</v>
      </c>
      <c r="N20" s="118">
        <v>14145</v>
      </c>
      <c r="O20" s="118">
        <v>14139</v>
      </c>
      <c r="P20" s="286">
        <v>13834</v>
      </c>
      <c r="Q20" s="169">
        <v>13369</v>
      </c>
      <c r="R20" s="169">
        <v>13640</v>
      </c>
      <c r="S20" s="169">
        <v>13426.29434</v>
      </c>
      <c r="T20" s="169">
        <v>15004</v>
      </c>
      <c r="V20" s="83"/>
      <c r="X20" s="46">
        <f>+[32]EEFF_TE_Per!X20</f>
        <v>0</v>
      </c>
    </row>
    <row r="21" spans="2:24" ht="15.5">
      <c r="B21" s="83" t="s">
        <v>44</v>
      </c>
      <c r="C21" s="118">
        <v>0</v>
      </c>
      <c r="D21" s="118">
        <v>0</v>
      </c>
      <c r="E21" s="118">
        <v>0</v>
      </c>
      <c r="F21" s="118">
        <v>0</v>
      </c>
      <c r="G21" s="118">
        <v>0</v>
      </c>
      <c r="H21" s="118">
        <v>0</v>
      </c>
      <c r="I21" s="118">
        <v>0</v>
      </c>
      <c r="J21" s="118">
        <v>0</v>
      </c>
      <c r="K21" s="118">
        <v>0</v>
      </c>
      <c r="L21" s="118">
        <v>0</v>
      </c>
      <c r="M21" s="118">
        <v>0</v>
      </c>
      <c r="N21" s="118">
        <v>0</v>
      </c>
      <c r="O21" s="118">
        <v>0</v>
      </c>
      <c r="P21" s="286">
        <v>0</v>
      </c>
      <c r="Q21" s="169">
        <v>0</v>
      </c>
      <c r="R21" s="169">
        <v>0</v>
      </c>
      <c r="S21" s="169">
        <v>0</v>
      </c>
      <c r="T21" s="169">
        <v>0</v>
      </c>
      <c r="V21" s="83" t="s">
        <v>44</v>
      </c>
      <c r="W21" s="650">
        <v>0</v>
      </c>
      <c r="X21" s="650">
        <f>+[32]EEFF_TE_Per!X21</f>
        <v>0</v>
      </c>
    </row>
    <row r="22" spans="2:24" ht="15.5">
      <c r="B22" s="83" t="s">
        <v>45</v>
      </c>
      <c r="C22" s="118">
        <v>1</v>
      </c>
      <c r="D22" s="118">
        <v>-504</v>
      </c>
      <c r="E22" s="118">
        <v>-142</v>
      </c>
      <c r="F22" s="118">
        <v>-64</v>
      </c>
      <c r="G22" s="118">
        <v>-135</v>
      </c>
      <c r="H22" s="118">
        <v>-210</v>
      </c>
      <c r="I22" s="118">
        <v>-30</v>
      </c>
      <c r="J22" s="118">
        <v>37</v>
      </c>
      <c r="K22" s="118">
        <v>-63</v>
      </c>
      <c r="L22" s="118">
        <v>-467</v>
      </c>
      <c r="M22" s="118">
        <v>76</v>
      </c>
      <c r="N22" s="118">
        <v>156</v>
      </c>
      <c r="O22" s="118">
        <v>-232</v>
      </c>
      <c r="P22" s="286">
        <f>-56+111</f>
        <v>55</v>
      </c>
      <c r="Q22" s="169">
        <v>55</v>
      </c>
      <c r="R22" s="169">
        <v>132</v>
      </c>
      <c r="S22" s="169">
        <v>4.6802800000000104</v>
      </c>
      <c r="T22" s="169">
        <f>213+59</f>
        <v>272</v>
      </c>
      <c r="V22" s="83" t="s">
        <v>45</v>
      </c>
      <c r="W22" s="650">
        <v>0</v>
      </c>
      <c r="X22" s="650">
        <f>+[32]EEFF_TE_Per!X22</f>
        <v>0</v>
      </c>
    </row>
    <row r="23" spans="2:24" ht="15.5">
      <c r="B23" s="85" t="s">
        <v>46</v>
      </c>
      <c r="C23" s="119">
        <f t="shared" ref="C23:M23" si="4">+C18-C20+C21+C22</f>
        <v>74193</v>
      </c>
      <c r="D23" s="119">
        <f t="shared" si="4"/>
        <v>78275</v>
      </c>
      <c r="E23" s="119">
        <f t="shared" si="4"/>
        <v>25021</v>
      </c>
      <c r="F23" s="119">
        <f t="shared" si="4"/>
        <v>25476</v>
      </c>
      <c r="G23" s="119">
        <f t="shared" si="4"/>
        <v>25159</v>
      </c>
      <c r="H23" s="119">
        <f t="shared" si="4"/>
        <v>26420</v>
      </c>
      <c r="I23" s="119">
        <f>+I18-I20+I21+I22</f>
        <v>28727</v>
      </c>
      <c r="J23" s="119">
        <f>+J18-J20+J21+J22</f>
        <v>29056</v>
      </c>
      <c r="K23" s="119">
        <f>+K18-K20+K21+K22</f>
        <v>28283</v>
      </c>
      <c r="L23" s="119">
        <f>+L18-L20+L21+L22</f>
        <v>28996</v>
      </c>
      <c r="M23" s="119">
        <f t="shared" si="4"/>
        <v>26344</v>
      </c>
      <c r="N23" s="119">
        <f>+N18-N20+N21+N22</f>
        <v>29133</v>
      </c>
      <c r="O23" s="119">
        <v>31235</v>
      </c>
      <c r="P23" s="288">
        <f>+P18-P20+P21+P22</f>
        <v>30116</v>
      </c>
      <c r="Q23" s="173">
        <f>+Q18-Q20+Q21+Q22</f>
        <v>30092</v>
      </c>
      <c r="R23" s="173">
        <v>30631</v>
      </c>
      <c r="S23" s="173">
        <v>30715.096080000003</v>
      </c>
      <c r="T23" s="173">
        <f>+T18-T20+T21+T22</f>
        <v>28731</v>
      </c>
      <c r="V23" s="85" t="s">
        <v>46</v>
      </c>
      <c r="W23" s="651">
        <v>30045.10698</v>
      </c>
      <c r="X23" s="651">
        <f>+[32]EEFF_TE_Per!X23</f>
        <v>33115.893020000003</v>
      </c>
    </row>
    <row r="24" spans="2:24" ht="15.5">
      <c r="B24" s="83"/>
      <c r="C24" s="78"/>
      <c r="D24" s="78"/>
      <c r="E24" s="78"/>
      <c r="F24" s="78"/>
      <c r="G24" s="78"/>
      <c r="H24" s="78"/>
      <c r="I24" s="78"/>
      <c r="J24" s="78"/>
      <c r="K24" s="78"/>
      <c r="L24" s="78"/>
      <c r="M24" s="78"/>
      <c r="N24" s="78"/>
      <c r="O24" s="78"/>
      <c r="P24" s="78"/>
      <c r="Q24" s="78"/>
      <c r="R24" s="78"/>
      <c r="S24" s="78"/>
      <c r="T24" s="78"/>
      <c r="V24" s="83"/>
      <c r="W24" s="650"/>
      <c r="X24" s="650">
        <f>+[32]EEFF_TE_Per!X24</f>
        <v>0</v>
      </c>
    </row>
    <row r="25" spans="2:24" ht="15.5">
      <c r="B25" s="83" t="s">
        <v>47</v>
      </c>
      <c r="C25" s="118">
        <v>-10139</v>
      </c>
      <c r="D25" s="118">
        <v>-12892</v>
      </c>
      <c r="E25" s="118">
        <v>-6610</v>
      </c>
      <c r="F25" s="118">
        <v>-7362</v>
      </c>
      <c r="G25" s="118">
        <v>-6708</v>
      </c>
      <c r="H25" s="118">
        <v>-5977</v>
      </c>
      <c r="I25" s="118">
        <v>-6213</v>
      </c>
      <c r="J25" s="118">
        <f>-13819+7</f>
        <v>-13812</v>
      </c>
      <c r="K25" s="118">
        <v>-7203</v>
      </c>
      <c r="L25" s="118">
        <f>-5794-18</f>
        <v>-5812</v>
      </c>
      <c r="M25" s="118">
        <f>-ROUND(7043.06927,0)</f>
        <v>-7043</v>
      </c>
      <c r="N25" s="118">
        <v>-8426</v>
      </c>
      <c r="O25" s="118">
        <v>-7762</v>
      </c>
      <c r="P25" s="286">
        <v>-7773</v>
      </c>
      <c r="Q25" s="169">
        <v>-7360</v>
      </c>
      <c r="R25" s="169">
        <v>-8847</v>
      </c>
      <c r="S25" s="169">
        <v>-7160.5661899999977</v>
      </c>
      <c r="T25" s="169">
        <v>-6881</v>
      </c>
      <c r="V25" s="83" t="s">
        <v>47</v>
      </c>
      <c r="W25" s="650">
        <v>-4824.0658900000008</v>
      </c>
      <c r="X25" s="650">
        <f>+[32]EEFF_TE_Per!X25</f>
        <v>-7393.4789200000005</v>
      </c>
    </row>
    <row r="26" spans="2:24" ht="15.5">
      <c r="B26" s="85" t="s">
        <v>48</v>
      </c>
      <c r="C26" s="120">
        <f t="shared" ref="C26:N26" si="5">+C23+C25</f>
        <v>64054</v>
      </c>
      <c r="D26" s="120">
        <f t="shared" si="5"/>
        <v>65383</v>
      </c>
      <c r="E26" s="120">
        <f t="shared" si="5"/>
        <v>18411</v>
      </c>
      <c r="F26" s="120">
        <f t="shared" si="5"/>
        <v>18114</v>
      </c>
      <c r="G26" s="120">
        <f t="shared" si="5"/>
        <v>18451</v>
      </c>
      <c r="H26" s="120">
        <f t="shared" si="5"/>
        <v>20443</v>
      </c>
      <c r="I26" s="120">
        <f t="shared" si="5"/>
        <v>22514</v>
      </c>
      <c r="J26" s="120">
        <f t="shared" si="5"/>
        <v>15244</v>
      </c>
      <c r="K26" s="120">
        <f t="shared" si="5"/>
        <v>21080</v>
      </c>
      <c r="L26" s="120">
        <f t="shared" si="5"/>
        <v>23184</v>
      </c>
      <c r="M26" s="120">
        <f t="shared" si="5"/>
        <v>19301</v>
      </c>
      <c r="N26" s="120">
        <f t="shared" si="5"/>
        <v>20707</v>
      </c>
      <c r="O26" s="120">
        <v>23473</v>
      </c>
      <c r="P26" s="289">
        <f>+P23+P25</f>
        <v>22343</v>
      </c>
      <c r="Q26" s="365">
        <f>+Q23+Q25</f>
        <v>22732</v>
      </c>
      <c r="R26" s="365">
        <v>21784</v>
      </c>
      <c r="S26" s="365">
        <v>23554.529890000005</v>
      </c>
      <c r="T26" s="365">
        <f>+T23+T25</f>
        <v>21850</v>
      </c>
      <c r="V26" s="85" t="s">
        <v>48</v>
      </c>
      <c r="W26" s="651">
        <v>25221.041089999999</v>
      </c>
      <c r="X26" s="651">
        <f>+[32]EEFF_TE_Per!X26</f>
        <v>25722.414100000002</v>
      </c>
    </row>
    <row r="27" spans="2:24" ht="15.5">
      <c r="B27" s="82"/>
      <c r="C27" s="9"/>
      <c r="D27" s="9"/>
      <c r="E27" s="9"/>
      <c r="F27" s="9"/>
      <c r="G27" s="9"/>
      <c r="H27" s="9"/>
      <c r="I27" s="9"/>
      <c r="J27" s="9"/>
      <c r="K27" s="9"/>
      <c r="L27" s="9"/>
      <c r="M27" s="9"/>
      <c r="N27" s="9"/>
      <c r="O27" s="9"/>
      <c r="P27" s="285"/>
      <c r="Q27" s="167"/>
      <c r="R27" s="167"/>
      <c r="S27" s="167"/>
      <c r="T27" s="167"/>
      <c r="V27" s="82"/>
      <c r="W27" s="652"/>
      <c r="X27" s="652">
        <f>+[32]EEFF_TE_Per!X27</f>
        <v>0</v>
      </c>
    </row>
    <row r="28" spans="2:24" ht="15.5">
      <c r="B28" s="83" t="s">
        <v>49</v>
      </c>
      <c r="C28" s="118">
        <v>21027</v>
      </c>
      <c r="D28" s="118">
        <v>20810</v>
      </c>
      <c r="E28" s="118">
        <v>5794</v>
      </c>
      <c r="F28" s="118">
        <v>5691</v>
      </c>
      <c r="G28" s="118">
        <v>5679</v>
      </c>
      <c r="H28" s="118">
        <v>6558</v>
      </c>
      <c r="I28" s="118">
        <v>6894</v>
      </c>
      <c r="J28" s="118">
        <v>4476</v>
      </c>
      <c r="K28" s="118">
        <v>6566</v>
      </c>
      <c r="L28" s="118">
        <v>6727</v>
      </c>
      <c r="M28" s="118">
        <v>5790</v>
      </c>
      <c r="N28" s="118">
        <v>6200</v>
      </c>
      <c r="O28" s="118">
        <v>6955</v>
      </c>
      <c r="P28" s="286">
        <v>6895</v>
      </c>
      <c r="Q28" s="169">
        <v>-6707</v>
      </c>
      <c r="R28" s="169">
        <v>6436</v>
      </c>
      <c r="S28" s="169">
        <v>7217.3583299999991</v>
      </c>
      <c r="T28" s="169">
        <v>6505</v>
      </c>
      <c r="V28" s="83" t="s">
        <v>49</v>
      </c>
      <c r="W28" s="650">
        <v>7515.38591</v>
      </c>
      <c r="X28" s="650">
        <f>+[32]EEFF_TE_Per!X28</f>
        <v>7643.8270600000005</v>
      </c>
    </row>
    <row r="29" spans="2:24" ht="15.5">
      <c r="B29" s="85" t="s">
        <v>52</v>
      </c>
      <c r="C29" s="120">
        <f t="shared" ref="C29:N29" si="6">+C26-C28</f>
        <v>43027</v>
      </c>
      <c r="D29" s="120">
        <f t="shared" si="6"/>
        <v>44573</v>
      </c>
      <c r="E29" s="120">
        <f t="shared" si="6"/>
        <v>12617</v>
      </c>
      <c r="F29" s="120">
        <f t="shared" si="6"/>
        <v>12423</v>
      </c>
      <c r="G29" s="120">
        <f t="shared" si="6"/>
        <v>12772</v>
      </c>
      <c r="H29" s="120">
        <f t="shared" si="6"/>
        <v>13885</v>
      </c>
      <c r="I29" s="120">
        <f t="shared" si="6"/>
        <v>15620</v>
      </c>
      <c r="J29" s="120">
        <f t="shared" si="6"/>
        <v>10768</v>
      </c>
      <c r="K29" s="120">
        <f t="shared" si="6"/>
        <v>14514</v>
      </c>
      <c r="L29" s="120">
        <f t="shared" si="6"/>
        <v>16457</v>
      </c>
      <c r="M29" s="120">
        <f t="shared" si="6"/>
        <v>13511</v>
      </c>
      <c r="N29" s="120">
        <f t="shared" si="6"/>
        <v>14507</v>
      </c>
      <c r="O29" s="120">
        <v>16518</v>
      </c>
      <c r="P29" s="289">
        <f>+P26-P28</f>
        <v>15448</v>
      </c>
      <c r="Q29" s="365">
        <f>+Q26-Q28</f>
        <v>29439</v>
      </c>
      <c r="R29" s="365">
        <v>15348</v>
      </c>
      <c r="S29" s="365">
        <v>16337.171560000006</v>
      </c>
      <c r="T29" s="365">
        <f>+T26-T28</f>
        <v>15345</v>
      </c>
      <c r="V29" s="85" t="s">
        <v>52</v>
      </c>
      <c r="W29" s="651">
        <v>17705.655179999998</v>
      </c>
      <c r="X29" s="651">
        <f>+[32]EEFF_TE_Per!X29</f>
        <v>18078.587040000002</v>
      </c>
    </row>
    <row r="30" spans="2:24" ht="15.5">
      <c r="B30" s="142"/>
      <c r="C30" s="151"/>
      <c r="D30" s="151"/>
      <c r="E30" s="151"/>
      <c r="F30" s="151"/>
      <c r="G30" s="151"/>
      <c r="H30" s="151"/>
      <c r="I30" s="151"/>
      <c r="J30" s="151"/>
      <c r="K30" s="151"/>
      <c r="L30" s="151"/>
      <c r="M30" s="151"/>
      <c r="N30" s="151"/>
      <c r="O30" s="151"/>
      <c r="P30" s="287"/>
      <c r="Q30" s="171"/>
      <c r="R30" s="171"/>
      <c r="S30" s="171"/>
      <c r="W30" s="547"/>
      <c r="X30" s="547">
        <f>+[32]EEFF_TE_Per!X30</f>
        <v>0</v>
      </c>
    </row>
    <row r="31" spans="2:24" ht="15.5">
      <c r="B31" s="142"/>
      <c r="C31" s="151"/>
      <c r="D31" s="151"/>
      <c r="E31" s="151"/>
      <c r="F31" s="151"/>
      <c r="G31" s="151"/>
      <c r="H31" s="151"/>
      <c r="I31" s="151"/>
      <c r="J31" s="151"/>
      <c r="K31" s="151"/>
      <c r="L31" s="151"/>
      <c r="M31" s="151"/>
      <c r="N31" s="151"/>
      <c r="O31" s="151"/>
      <c r="P31" s="287"/>
      <c r="Q31" s="171"/>
      <c r="R31" s="171"/>
      <c r="S31" s="171"/>
      <c r="W31" s="547"/>
      <c r="X31" s="547">
        <f>+[32]EEFF_TE_Per!X31</f>
        <v>0</v>
      </c>
    </row>
    <row r="32" spans="2:24" ht="15.5">
      <c r="B32" s="143"/>
      <c r="C32" s="143"/>
      <c r="D32" s="143"/>
      <c r="E32" s="143"/>
      <c r="F32" s="143"/>
      <c r="G32" s="143"/>
      <c r="H32" s="143"/>
      <c r="I32" s="143"/>
      <c r="J32" s="143"/>
      <c r="K32" s="143"/>
      <c r="L32" s="143"/>
      <c r="M32" s="143"/>
      <c r="N32" s="143"/>
      <c r="O32" s="143"/>
      <c r="P32" s="290"/>
      <c r="Q32" s="143"/>
      <c r="R32" s="143"/>
      <c r="S32" s="143"/>
      <c r="V32" s="85" t="s">
        <v>1104</v>
      </c>
      <c r="W32" s="651">
        <v>43770.534</v>
      </c>
      <c r="X32" s="651">
        <f>+[32]EEFF_TE_Per!X32</f>
        <v>46510.275810000006</v>
      </c>
    </row>
    <row r="33" spans="1:24" ht="15.5">
      <c r="A33" s="56" t="s">
        <v>104</v>
      </c>
      <c r="B33" s="12" t="s">
        <v>279</v>
      </c>
      <c r="C33" s="33"/>
      <c r="D33" s="33"/>
      <c r="E33" s="34"/>
      <c r="F33" s="33"/>
      <c r="G33" s="33"/>
      <c r="H33" s="33"/>
      <c r="I33" s="34"/>
      <c r="J33" s="33"/>
      <c r="K33" s="33"/>
      <c r="L33" s="33"/>
      <c r="M33" s="34"/>
      <c r="N33" s="33"/>
      <c r="O33" s="33"/>
      <c r="P33" s="291"/>
      <c r="Q33" s="33"/>
      <c r="R33" s="33"/>
      <c r="S33" s="33"/>
    </row>
    <row r="34" spans="1:24" ht="15.5">
      <c r="B34" s="14" t="s">
        <v>277</v>
      </c>
      <c r="C34" s="143"/>
      <c r="D34" s="143"/>
      <c r="E34" s="143"/>
      <c r="F34" s="143"/>
      <c r="G34" s="143"/>
      <c r="H34" s="143"/>
      <c r="I34" s="143"/>
      <c r="J34" s="143"/>
      <c r="K34" s="143"/>
      <c r="L34" s="143"/>
      <c r="M34" s="143"/>
      <c r="N34" s="143"/>
      <c r="O34" s="143"/>
      <c r="P34" s="290"/>
      <c r="Q34" s="143"/>
      <c r="R34" s="143"/>
      <c r="S34" s="143"/>
    </row>
    <row r="35" spans="1:24" ht="15.5">
      <c r="B35" s="14"/>
      <c r="C35" s="143"/>
      <c r="D35" s="143"/>
      <c r="E35" s="143"/>
      <c r="F35" s="143"/>
      <c r="G35" s="143"/>
      <c r="H35" s="143"/>
      <c r="I35" s="143"/>
      <c r="J35" s="143"/>
      <c r="K35" s="143"/>
      <c r="L35" s="143"/>
      <c r="M35" s="143"/>
      <c r="N35" s="143"/>
      <c r="O35" s="143"/>
      <c r="P35" s="290"/>
      <c r="Q35" s="143"/>
      <c r="R35" s="143"/>
      <c r="S35" s="143"/>
    </row>
    <row r="36" spans="1:24" ht="15.5" thickBot="1">
      <c r="B36" s="282"/>
      <c r="C36" s="283"/>
      <c r="D36" s="283"/>
      <c r="E36" s="283"/>
      <c r="F36" s="283"/>
      <c r="G36" s="283"/>
      <c r="H36" s="283"/>
      <c r="I36" s="283"/>
      <c r="J36" s="283"/>
      <c r="K36" s="283"/>
      <c r="L36" s="283"/>
      <c r="M36" s="283"/>
      <c r="N36" s="283"/>
      <c r="O36" s="283"/>
      <c r="P36" s="284"/>
      <c r="Q36" s="283"/>
      <c r="R36" s="283"/>
      <c r="S36" s="283"/>
      <c r="T36" s="283"/>
      <c r="V36" s="282"/>
      <c r="W36" s="283"/>
      <c r="X36" s="283"/>
    </row>
    <row r="37" spans="1:24" ht="15.5" thickBot="1">
      <c r="B37" s="124" t="s">
        <v>55</v>
      </c>
      <c r="C37" s="125"/>
      <c r="D37" s="125"/>
      <c r="E37" s="125"/>
      <c r="F37" s="125"/>
      <c r="G37" s="125"/>
      <c r="H37" s="125"/>
      <c r="I37" s="125"/>
      <c r="J37" s="125"/>
      <c r="K37" s="125"/>
      <c r="L37" s="125"/>
      <c r="M37" s="125"/>
      <c r="N37" s="125"/>
      <c r="O37" s="125"/>
      <c r="P37" s="292"/>
      <c r="Q37" s="125"/>
      <c r="R37" s="125"/>
      <c r="S37" s="125"/>
      <c r="T37" s="125"/>
      <c r="V37" s="124" t="s">
        <v>55</v>
      </c>
      <c r="W37" s="125"/>
      <c r="X37" s="125"/>
    </row>
    <row r="38" spans="1:24" ht="15.5" thickBot="1">
      <c r="B38" s="126" t="s">
        <v>56</v>
      </c>
      <c r="C38" s="127"/>
      <c r="D38" s="127"/>
      <c r="E38" s="127"/>
      <c r="F38" s="127"/>
      <c r="G38" s="127"/>
      <c r="H38" s="127"/>
      <c r="I38" s="127"/>
      <c r="J38" s="127"/>
      <c r="K38" s="127"/>
      <c r="L38" s="127"/>
      <c r="M38" s="127"/>
      <c r="N38" s="152"/>
      <c r="O38" s="152"/>
      <c r="P38" s="293"/>
      <c r="Q38" s="152"/>
      <c r="R38" s="152"/>
      <c r="S38" s="152"/>
      <c r="T38" s="152"/>
      <c r="V38" s="126" t="s">
        <v>56</v>
      </c>
      <c r="W38" s="152"/>
      <c r="X38" s="152"/>
    </row>
    <row r="39" spans="1:24" ht="15.5">
      <c r="B39" s="83" t="s">
        <v>57</v>
      </c>
      <c r="C39" s="118">
        <v>3100.344599999974</v>
      </c>
      <c r="D39" s="118">
        <v>22845.066629999998</v>
      </c>
      <c r="E39" s="118">
        <v>70681.831069999986</v>
      </c>
      <c r="F39" s="118">
        <v>9464.051300000001</v>
      </c>
      <c r="G39" s="118">
        <v>17494.000309999999</v>
      </c>
      <c r="H39" s="118">
        <v>24390.453149999998</v>
      </c>
      <c r="I39" s="118">
        <v>26200.126370000002</v>
      </c>
      <c r="J39" s="118">
        <v>48222.839619999999</v>
      </c>
      <c r="K39" s="118">
        <v>56073.660929999998</v>
      </c>
      <c r="L39" s="118">
        <v>34742.533000000003</v>
      </c>
      <c r="M39" s="118">
        <v>60515.888200000001</v>
      </c>
      <c r="N39" s="118">
        <v>77607.050920000009</v>
      </c>
      <c r="O39" s="118">
        <v>190640</v>
      </c>
      <c r="P39" s="286">
        <v>69361</v>
      </c>
      <c r="Q39" s="169">
        <v>53381</v>
      </c>
      <c r="R39" s="169">
        <v>120800</v>
      </c>
      <c r="S39" s="169">
        <v>73810.39181999999</v>
      </c>
      <c r="T39" s="169">
        <v>51935</v>
      </c>
      <c r="V39" s="83" t="s">
        <v>57</v>
      </c>
      <c r="W39" s="169">
        <v>75447.950700000001</v>
      </c>
      <c r="X39" s="169">
        <f>+[32]EEFF_TE_Per!X39</f>
        <v>25622.302030000003</v>
      </c>
    </row>
    <row r="40" spans="1:24" ht="15.5">
      <c r="B40" s="83" t="s">
        <v>280</v>
      </c>
      <c r="C40" s="118">
        <v>12810.560829999999</v>
      </c>
      <c r="D40" s="118">
        <v>17902.028999999999</v>
      </c>
      <c r="E40" s="118">
        <v>18674.970209999999</v>
      </c>
      <c r="F40" s="118">
        <v>19132.43346</v>
      </c>
      <c r="G40" s="118">
        <v>19834.966769999999</v>
      </c>
      <c r="H40" s="118">
        <v>22121.309000000001</v>
      </c>
      <c r="I40" s="118">
        <v>21651.036929999998</v>
      </c>
      <c r="J40" s="118">
        <v>21802.442440000003</v>
      </c>
      <c r="K40" s="118">
        <v>21421.465769999999</v>
      </c>
      <c r="L40" s="118">
        <v>22929.362000000001</v>
      </c>
      <c r="M40" s="118">
        <v>22076.112920000003</v>
      </c>
      <c r="N40" s="118">
        <v>23792.642019999999</v>
      </c>
      <c r="O40" s="118">
        <v>25650</v>
      </c>
      <c r="P40" s="286">
        <v>27395</v>
      </c>
      <c r="Q40" s="169">
        <v>29095</v>
      </c>
      <c r="R40" s="169">
        <v>31157</v>
      </c>
      <c r="S40" s="169">
        <v>32158.946390000001</v>
      </c>
      <c r="T40" s="169">
        <v>31603</v>
      </c>
      <c r="V40" s="83" t="s">
        <v>280</v>
      </c>
      <c r="W40" s="169">
        <v>24537.460449999999</v>
      </c>
      <c r="X40" s="169">
        <f>+[32]EEFF_TE_Per!X40</f>
        <v>26017.917659999999</v>
      </c>
    </row>
    <row r="41" spans="1:24" ht="15.5">
      <c r="B41" s="83" t="s">
        <v>281</v>
      </c>
      <c r="C41" s="118">
        <v>49989.800999999999</v>
      </c>
      <c r="D41" s="118">
        <v>17941.57</v>
      </c>
      <c r="E41" s="118">
        <v>16585.751039999999</v>
      </c>
      <c r="F41" s="118">
        <v>23471.900320000001</v>
      </c>
      <c r="G41" s="118">
        <v>23591.421739999998</v>
      </c>
      <c r="H41" s="118">
        <v>15075.039000000001</v>
      </c>
      <c r="I41" s="118">
        <v>19694.16762</v>
      </c>
      <c r="J41" s="118">
        <v>25493.541989999998</v>
      </c>
      <c r="K41" s="118">
        <v>29403.13377</v>
      </c>
      <c r="L41" s="118">
        <v>22255.904999999999</v>
      </c>
      <c r="M41" s="118">
        <v>29651.705600000001</v>
      </c>
      <c r="N41" s="118">
        <v>28825.336380000001</v>
      </c>
      <c r="O41" s="118">
        <v>12884</v>
      </c>
      <c r="P41" s="286">
        <v>19514</v>
      </c>
      <c r="Q41" s="169">
        <v>23111</v>
      </c>
      <c r="R41" s="169">
        <v>26560</v>
      </c>
      <c r="S41" s="169">
        <v>32588.31911</v>
      </c>
      <c r="T41" s="169">
        <v>27192</v>
      </c>
      <c r="V41" s="83" t="s">
        <v>281</v>
      </c>
      <c r="W41" s="169">
        <v>30419.750980000004</v>
      </c>
      <c r="X41" s="169">
        <f>+[32]EEFF_TE_Per!X41</f>
        <v>36487.189470000005</v>
      </c>
    </row>
    <row r="42" spans="1:24" ht="15.5">
      <c r="B42" s="83" t="s">
        <v>282</v>
      </c>
      <c r="C42" s="118">
        <v>5982.3008300000001</v>
      </c>
      <c r="D42" s="118">
        <v>3611.2267599999996</v>
      </c>
      <c r="E42" s="118">
        <v>4010.4315799999999</v>
      </c>
      <c r="F42" s="118">
        <v>4291.6916799999999</v>
      </c>
      <c r="G42" s="118">
        <v>4152.8440000000001</v>
      </c>
      <c r="H42" s="118">
        <v>5643.4131900000002</v>
      </c>
      <c r="I42" s="118">
        <v>5656.2311900000004</v>
      </c>
      <c r="J42" s="118">
        <v>5944.5310300000001</v>
      </c>
      <c r="K42" s="118">
        <v>5872.55357</v>
      </c>
      <c r="L42" s="118">
        <v>5777.8597499999996</v>
      </c>
      <c r="M42" s="118">
        <v>5696.3175700000002</v>
      </c>
      <c r="N42" s="118">
        <v>5735.0665799999997</v>
      </c>
      <c r="O42" s="118">
        <v>5988</v>
      </c>
      <c r="P42" s="286">
        <v>6263</v>
      </c>
      <c r="Q42" s="169">
        <v>6276</v>
      </c>
      <c r="R42" s="169">
        <v>6405</v>
      </c>
      <c r="S42" s="169">
        <v>6367.4235399999998</v>
      </c>
      <c r="T42" s="169">
        <v>6506</v>
      </c>
      <c r="V42" s="83" t="s">
        <v>282</v>
      </c>
      <c r="W42" s="169">
        <v>6395.9930400000003</v>
      </c>
      <c r="X42" s="169">
        <f>+[32]EEFF_TE_Per!X42</f>
        <v>6375.2903099999994</v>
      </c>
    </row>
    <row r="43" spans="1:24" ht="15.5">
      <c r="B43" s="83" t="s">
        <v>283</v>
      </c>
      <c r="C43" s="118">
        <v>640.41286000000002</v>
      </c>
      <c r="D43" s="118">
        <v>884.24045999999998</v>
      </c>
      <c r="E43" s="118">
        <v>508.52312999999998</v>
      </c>
      <c r="F43" s="118">
        <v>100.48341000000001</v>
      </c>
      <c r="G43" s="118">
        <v>2835.7186000000002</v>
      </c>
      <c r="H43" s="118">
        <v>2309.1588999999999</v>
      </c>
      <c r="I43" s="118">
        <v>1847.0334399999999</v>
      </c>
      <c r="J43" s="118">
        <v>1382.75173</v>
      </c>
      <c r="K43" s="118">
        <v>1438.3046899999999</v>
      </c>
      <c r="L43" s="118">
        <v>1110.6847499999999</v>
      </c>
      <c r="M43" s="118">
        <v>3141.8599700000004</v>
      </c>
      <c r="N43" s="118">
        <v>2286.6473900000001</v>
      </c>
      <c r="O43" s="118">
        <v>3247</v>
      </c>
      <c r="P43" s="286">
        <v>2535</v>
      </c>
      <c r="Q43" s="169">
        <v>1886</v>
      </c>
      <c r="R43" s="169">
        <v>855</v>
      </c>
      <c r="S43" s="169">
        <v>3241.9642399999998</v>
      </c>
      <c r="T43" s="169">
        <v>2715</v>
      </c>
      <c r="V43" s="83" t="s">
        <v>283</v>
      </c>
      <c r="W43" s="169">
        <v>2535.1574599999999</v>
      </c>
      <c r="X43" s="169">
        <f>+[32]EEFF_TE_Per!X43</f>
        <v>1916.0275200000001</v>
      </c>
    </row>
    <row r="44" spans="1:24" ht="15.5">
      <c r="B44" s="83" t="s">
        <v>122</v>
      </c>
      <c r="C44" s="118">
        <v>0</v>
      </c>
      <c r="D44" s="118">
        <v>0</v>
      </c>
      <c r="E44" s="118">
        <v>0</v>
      </c>
      <c r="F44" s="118">
        <v>0</v>
      </c>
      <c r="G44" s="118">
        <v>0</v>
      </c>
      <c r="H44" s="118">
        <v>0</v>
      </c>
      <c r="I44" s="118">
        <v>0</v>
      </c>
      <c r="J44" s="118">
        <v>0</v>
      </c>
      <c r="K44" s="118">
        <v>0</v>
      </c>
      <c r="L44" s="118">
        <v>16800</v>
      </c>
      <c r="M44" s="118">
        <v>0</v>
      </c>
      <c r="N44" s="118">
        <v>0</v>
      </c>
      <c r="O44" s="118">
        <v>0</v>
      </c>
      <c r="P44" s="286">
        <v>87162</v>
      </c>
      <c r="Q44" s="169">
        <v>101467</v>
      </c>
      <c r="R44" s="169">
        <v>0</v>
      </c>
      <c r="S44" s="169">
        <v>0</v>
      </c>
      <c r="T44" s="169">
        <v>0</v>
      </c>
      <c r="V44" s="83" t="s">
        <v>122</v>
      </c>
      <c r="W44" s="169">
        <v>0</v>
      </c>
      <c r="X44" s="169">
        <f>+[32]EEFF_TE_Per!X44</f>
        <v>0</v>
      </c>
    </row>
    <row r="45" spans="1:24" ht="15.5">
      <c r="B45" s="83" t="s">
        <v>284</v>
      </c>
      <c r="C45" s="118">
        <v>1199.6198100000001</v>
      </c>
      <c r="D45" s="118">
        <v>228.60698000000002</v>
      </c>
      <c r="E45" s="118">
        <v>14306.933789999999</v>
      </c>
      <c r="F45" s="118">
        <v>16859.066079999997</v>
      </c>
      <c r="G45" s="118">
        <v>21160.5255</v>
      </c>
      <c r="H45" s="118">
        <v>25120.717840000001</v>
      </c>
      <c r="I45" s="118">
        <v>25053.772639999999</v>
      </c>
      <c r="J45" s="118">
        <v>25293.328850000002</v>
      </c>
      <c r="K45" s="118">
        <v>28194.066269999999</v>
      </c>
      <c r="L45" s="118">
        <v>26294.862000000001</v>
      </c>
      <c r="M45" s="118">
        <v>20390.904190000001</v>
      </c>
      <c r="N45" s="118">
        <v>18834.96312</v>
      </c>
      <c r="O45" s="118">
        <v>23028</v>
      </c>
      <c r="P45" s="286">
        <v>43538</v>
      </c>
      <c r="Q45" s="169">
        <v>27435</v>
      </c>
      <c r="R45" s="169">
        <v>21275</v>
      </c>
      <c r="S45" s="169">
        <v>16845.141420000004</v>
      </c>
      <c r="T45" s="169">
        <v>12536</v>
      </c>
      <c r="V45" s="83" t="s">
        <v>284</v>
      </c>
      <c r="W45" s="169">
        <v>10754.84201</v>
      </c>
      <c r="X45" s="169">
        <f>+[32]EEFF_TE_Per!X45</f>
        <v>10686.7737</v>
      </c>
    </row>
    <row r="46" spans="1:24" ht="15.5">
      <c r="B46" s="83" t="s">
        <v>726</v>
      </c>
      <c r="C46" s="118">
        <v>0</v>
      </c>
      <c r="D46" s="118">
        <v>0</v>
      </c>
      <c r="E46" s="118">
        <v>0</v>
      </c>
      <c r="F46" s="118">
        <v>0</v>
      </c>
      <c r="G46" s="118">
        <v>0</v>
      </c>
      <c r="H46" s="118">
        <v>0</v>
      </c>
      <c r="I46" s="118">
        <v>0</v>
      </c>
      <c r="J46" s="118">
        <v>0</v>
      </c>
      <c r="K46" s="118">
        <v>0</v>
      </c>
      <c r="L46" s="118">
        <v>0</v>
      </c>
      <c r="M46" s="118">
        <v>0</v>
      </c>
      <c r="N46" s="118">
        <v>0</v>
      </c>
      <c r="O46" s="118">
        <v>0</v>
      </c>
      <c r="P46" s="286">
        <v>2104</v>
      </c>
      <c r="Q46" s="169">
        <v>2025</v>
      </c>
      <c r="R46" s="169">
        <v>390</v>
      </c>
      <c r="S46" s="169">
        <v>743.18207999999993</v>
      </c>
      <c r="T46" s="169">
        <v>1154</v>
      </c>
      <c r="V46" s="83" t="s">
        <v>726</v>
      </c>
      <c r="W46" s="169">
        <v>0</v>
      </c>
      <c r="X46" s="169">
        <f>+[32]EEFF_TE_Per!X46</f>
        <v>840.81047999999998</v>
      </c>
    </row>
    <row r="47" spans="1:24" ht="16" thickBot="1">
      <c r="B47" s="83" t="s">
        <v>727</v>
      </c>
      <c r="C47" s="118">
        <v>0</v>
      </c>
      <c r="D47" s="118">
        <v>0</v>
      </c>
      <c r="E47" s="118">
        <v>0</v>
      </c>
      <c r="F47" s="118">
        <v>0</v>
      </c>
      <c r="G47" s="118">
        <v>0</v>
      </c>
      <c r="H47" s="118">
        <v>0</v>
      </c>
      <c r="I47" s="118">
        <v>0</v>
      </c>
      <c r="J47" s="118">
        <v>0</v>
      </c>
      <c r="K47" s="118">
        <v>0</v>
      </c>
      <c r="L47" s="118">
        <v>0</v>
      </c>
      <c r="M47" s="118">
        <v>0</v>
      </c>
      <c r="N47" s="118">
        <v>0</v>
      </c>
      <c r="O47" s="118">
        <v>0</v>
      </c>
      <c r="P47" s="286">
        <v>8719</v>
      </c>
      <c r="Q47" s="169">
        <v>8579</v>
      </c>
      <c r="R47" s="169">
        <v>8579</v>
      </c>
      <c r="S47" s="169">
        <v>8578.9844200000007</v>
      </c>
      <c r="T47" s="169">
        <v>8599</v>
      </c>
      <c r="V47" s="83" t="s">
        <v>727</v>
      </c>
      <c r="W47" s="169">
        <v>0</v>
      </c>
      <c r="X47" s="169">
        <f>+[32]EEFF_TE_Per!X47</f>
        <v>0</v>
      </c>
    </row>
    <row r="48" spans="1:24" ht="15.5" thickBot="1">
      <c r="B48" s="129" t="s">
        <v>63</v>
      </c>
      <c r="C48" s="130">
        <v>73723.039929999984</v>
      </c>
      <c r="D48" s="130">
        <v>63412.739829999991</v>
      </c>
      <c r="E48" s="130">
        <v>124768.44081999999</v>
      </c>
      <c r="F48" s="130">
        <v>73319.626250000001</v>
      </c>
      <c r="G48" s="130">
        <v>89069.476920000001</v>
      </c>
      <c r="H48" s="130">
        <v>94660.091079999998</v>
      </c>
      <c r="I48" s="130">
        <v>100102.36819000001</v>
      </c>
      <c r="J48" s="130">
        <v>128139.43566</v>
      </c>
      <c r="K48" s="130">
        <v>142403.185</v>
      </c>
      <c r="L48" s="130">
        <v>129911.2065</v>
      </c>
      <c r="M48" s="130">
        <v>141472.78844999999</v>
      </c>
      <c r="N48" s="153">
        <v>157081.70641000001</v>
      </c>
      <c r="O48" s="153">
        <v>261437</v>
      </c>
      <c r="P48" s="294">
        <f>SUM(P39:P47)</f>
        <v>266591</v>
      </c>
      <c r="Q48" s="153">
        <f>SUM(Q39:Q47)</f>
        <v>253255</v>
      </c>
      <c r="R48" s="153">
        <v>216021</v>
      </c>
      <c r="S48" s="153">
        <v>174334.35301999998</v>
      </c>
      <c r="T48" s="153">
        <f>SUM(T39:T47)</f>
        <v>142240</v>
      </c>
      <c r="V48" s="129" t="s">
        <v>63</v>
      </c>
      <c r="W48" s="153">
        <v>150091.15463999999</v>
      </c>
      <c r="X48" s="153">
        <f>+[32]EEFF_TE_Per!X48</f>
        <v>107946.31117000002</v>
      </c>
    </row>
    <row r="49" spans="2:24" ht="15.5" thickBot="1">
      <c r="B49" s="126" t="s">
        <v>64</v>
      </c>
      <c r="C49" s="127"/>
      <c r="D49" s="127"/>
      <c r="E49" s="127"/>
      <c r="F49" s="127"/>
      <c r="G49" s="127"/>
      <c r="H49" s="127"/>
      <c r="I49" s="127"/>
      <c r="J49" s="127"/>
      <c r="K49" s="127"/>
      <c r="L49" s="127"/>
      <c r="M49" s="127"/>
      <c r="N49" s="152"/>
      <c r="O49" s="152"/>
      <c r="P49" s="293"/>
      <c r="Q49" s="152"/>
      <c r="R49" s="152"/>
      <c r="S49" s="152"/>
      <c r="T49" s="152"/>
      <c r="V49" s="126" t="s">
        <v>64</v>
      </c>
      <c r="W49" s="152"/>
      <c r="X49" s="152">
        <f>+[32]EEFF_TE_Per!X49</f>
        <v>0</v>
      </c>
    </row>
    <row r="50" spans="2:24" ht="15.5">
      <c r="B50" s="83" t="s">
        <v>280</v>
      </c>
      <c r="C50" s="118">
        <v>26053.380960000002</v>
      </c>
      <c r="D50" s="118">
        <v>25684.456999999999</v>
      </c>
      <c r="E50" s="118">
        <v>25924.948499999999</v>
      </c>
      <c r="F50" s="118">
        <v>26158.257160000001</v>
      </c>
      <c r="G50" s="118">
        <v>25897.892800000001</v>
      </c>
      <c r="H50" s="118">
        <v>25359.716</v>
      </c>
      <c r="I50" s="118">
        <v>25531.869409999999</v>
      </c>
      <c r="J50" s="118">
        <v>25760.963500000002</v>
      </c>
      <c r="K50" s="118">
        <v>25469.4611</v>
      </c>
      <c r="L50" s="118">
        <v>24672.55</v>
      </c>
      <c r="M50" s="118">
        <v>24818.98717</v>
      </c>
      <c r="N50" s="118">
        <v>24840.810519999999</v>
      </c>
      <c r="O50" s="118">
        <v>24498</v>
      </c>
      <c r="P50" s="286">
        <v>23676</v>
      </c>
      <c r="Q50" s="169">
        <v>23314</v>
      </c>
      <c r="R50" s="169">
        <v>23126</v>
      </c>
      <c r="S50" s="169">
        <v>22737.269250000001</v>
      </c>
      <c r="T50" s="169">
        <v>22340</v>
      </c>
      <c r="V50" s="83" t="s">
        <v>280</v>
      </c>
      <c r="W50" s="169">
        <v>21934.56265</v>
      </c>
      <c r="X50" s="169">
        <f>+[32]EEFF_TE_Per!X50</f>
        <v>22659.29322</v>
      </c>
    </row>
    <row r="51" spans="2:24" ht="15.5">
      <c r="B51" s="83" t="s">
        <v>281</v>
      </c>
      <c r="C51" s="118">
        <v>69146.199519999995</v>
      </c>
      <c r="D51" s="118">
        <v>73285.566999999995</v>
      </c>
      <c r="E51" s="118">
        <v>72258.835459999988</v>
      </c>
      <c r="F51" s="118">
        <v>69444.461089999997</v>
      </c>
      <c r="G51" s="118">
        <v>69033.159480000002</v>
      </c>
      <c r="H51" s="118">
        <v>71863.791089999999</v>
      </c>
      <c r="I51" s="118">
        <v>71883.734169999996</v>
      </c>
      <c r="J51" s="118">
        <v>72511.895310000007</v>
      </c>
      <c r="K51" s="118">
        <v>84611.131859999994</v>
      </c>
      <c r="L51" s="118">
        <v>102298.921</v>
      </c>
      <c r="M51" s="118">
        <v>112089.21623999999</v>
      </c>
      <c r="N51" s="118">
        <v>114768.61337000001</v>
      </c>
      <c r="O51" s="118">
        <v>120646</v>
      </c>
      <c r="P51" s="286">
        <v>127788</v>
      </c>
      <c r="Q51" s="169">
        <v>131110</v>
      </c>
      <c r="R51" s="169">
        <v>132757</v>
      </c>
      <c r="S51" s="169">
        <v>133600.05601999999</v>
      </c>
      <c r="T51" s="169">
        <v>135582</v>
      </c>
      <c r="V51" s="83" t="s">
        <v>281</v>
      </c>
      <c r="W51" s="169">
        <v>134230.51102999999</v>
      </c>
      <c r="X51" s="169">
        <f>+[32]EEFF_TE_Per!X51</f>
        <v>134124.16404999999</v>
      </c>
    </row>
    <row r="52" spans="2:24" ht="15.5">
      <c r="B52" s="83" t="s">
        <v>285</v>
      </c>
      <c r="C52" s="118">
        <v>17215.072319999999</v>
      </c>
      <c r="D52" s="118">
        <v>0</v>
      </c>
      <c r="E52" s="118">
        <v>0</v>
      </c>
      <c r="F52" s="118">
        <v>0</v>
      </c>
      <c r="G52" s="118">
        <v>0</v>
      </c>
      <c r="H52" s="118">
        <v>0</v>
      </c>
      <c r="I52" s="118">
        <v>0</v>
      </c>
      <c r="J52" s="118">
        <v>0</v>
      </c>
      <c r="K52" s="118">
        <v>0</v>
      </c>
      <c r="L52" s="118">
        <v>0</v>
      </c>
      <c r="M52" s="118">
        <v>0</v>
      </c>
      <c r="N52" s="118">
        <v>0</v>
      </c>
      <c r="O52" s="118">
        <v>0</v>
      </c>
      <c r="P52" s="286">
        <v>0</v>
      </c>
      <c r="Q52" s="169"/>
      <c r="R52" s="169"/>
      <c r="S52" s="169">
        <v>0</v>
      </c>
      <c r="T52" s="169">
        <v>0</v>
      </c>
      <c r="V52" s="83" t="s">
        <v>285</v>
      </c>
      <c r="W52" s="169">
        <v>0</v>
      </c>
      <c r="X52" s="169">
        <f>+[32]EEFF_TE_Per!X52</f>
        <v>0</v>
      </c>
    </row>
    <row r="53" spans="2:24" ht="15.5">
      <c r="B53" s="83" t="s">
        <v>70</v>
      </c>
      <c r="C53" s="118">
        <v>2521.1970600000127</v>
      </c>
      <c r="D53" s="118">
        <v>2422.7654400000001</v>
      </c>
      <c r="E53" s="118">
        <v>2369.9827600000003</v>
      </c>
      <c r="F53" s="118">
        <v>2320.1573399999997</v>
      </c>
      <c r="G53" s="118">
        <v>2271.21227</v>
      </c>
      <c r="H53" s="118">
        <v>2325.6148800000005</v>
      </c>
      <c r="I53" s="118">
        <v>2347.1055999999999</v>
      </c>
      <c r="J53" s="118">
        <v>2334.5615100000005</v>
      </c>
      <c r="K53" s="118">
        <v>2338.6625500000005</v>
      </c>
      <c r="L53" s="118">
        <v>2652.39966</v>
      </c>
      <c r="M53" s="118">
        <v>2640.6403300000002</v>
      </c>
      <c r="N53" s="118">
        <v>2631.74235</v>
      </c>
      <c r="O53" s="118">
        <v>2702</v>
      </c>
      <c r="P53" s="286">
        <v>3277</v>
      </c>
      <c r="Q53" s="169">
        <v>3248</v>
      </c>
      <c r="R53" s="169">
        <v>3283</v>
      </c>
      <c r="S53" s="169">
        <v>3144.9256700000001</v>
      </c>
      <c r="T53" s="169">
        <v>2953</v>
      </c>
      <c r="V53" s="83" t="s">
        <v>70</v>
      </c>
      <c r="W53" s="169">
        <v>2951.1092899999999</v>
      </c>
      <c r="X53" s="169">
        <f>+[32]EEFF_TE_Per!X53</f>
        <v>2965.3854900000001</v>
      </c>
    </row>
    <row r="54" spans="2:24" ht="15.5">
      <c r="B54" s="83" t="s">
        <v>73</v>
      </c>
      <c r="C54" s="118">
        <v>1131079.0943799999</v>
      </c>
      <c r="D54" s="118">
        <v>1267725.21312</v>
      </c>
      <c r="E54" s="118">
        <v>1277493.3783900002</v>
      </c>
      <c r="F54" s="118">
        <v>1281165.17221</v>
      </c>
      <c r="G54" s="118">
        <v>1281265.0287299999</v>
      </c>
      <c r="H54" s="118">
        <v>1280264.2017999999</v>
      </c>
      <c r="I54" s="118">
        <v>1273214.0362499999</v>
      </c>
      <c r="J54" s="118">
        <v>1264249.69933</v>
      </c>
      <c r="K54" s="118">
        <v>1259752.0421800001</v>
      </c>
      <c r="L54" s="118">
        <v>1276788.8507100001</v>
      </c>
      <c r="M54" s="118">
        <v>1289187.7552100001</v>
      </c>
      <c r="N54" s="118">
        <v>1307571.6147</v>
      </c>
      <c r="O54" s="118">
        <v>1350529</v>
      </c>
      <c r="P54" s="286">
        <v>1386473</v>
      </c>
      <c r="Q54" s="169">
        <v>1411638</v>
      </c>
      <c r="R54" s="169">
        <v>1439427</v>
      </c>
      <c r="S54" s="169">
        <v>1473056.3463299999</v>
      </c>
      <c r="T54" s="169">
        <v>1519229</v>
      </c>
      <c r="V54" s="83" t="s">
        <v>73</v>
      </c>
      <c r="W54" s="169">
        <v>1529815.9900100001</v>
      </c>
      <c r="X54" s="169">
        <f>+[32]EEFF_TE_Per!X54</f>
        <v>1547486.38133</v>
      </c>
    </row>
    <row r="55" spans="2:24" ht="15.5">
      <c r="B55" s="83" t="s">
        <v>61</v>
      </c>
      <c r="C55" s="118">
        <v>0</v>
      </c>
      <c r="D55" s="118">
        <v>0</v>
      </c>
      <c r="E55" s="118">
        <v>0</v>
      </c>
      <c r="F55" s="118">
        <v>0</v>
      </c>
      <c r="G55" s="118">
        <v>0</v>
      </c>
      <c r="H55" s="118">
        <v>0</v>
      </c>
      <c r="I55" s="118">
        <v>0</v>
      </c>
      <c r="J55" s="118">
        <v>0</v>
      </c>
      <c r="K55" s="118">
        <v>0</v>
      </c>
      <c r="L55" s="118">
        <v>0</v>
      </c>
      <c r="M55" s="118">
        <v>0</v>
      </c>
      <c r="N55" s="118">
        <v>0</v>
      </c>
      <c r="O55" s="118">
        <v>10002</v>
      </c>
      <c r="P55" s="286">
        <v>0</v>
      </c>
      <c r="Q55" s="169"/>
      <c r="R55" s="169">
        <v>0</v>
      </c>
      <c r="S55" s="169">
        <v>0</v>
      </c>
      <c r="T55" s="169">
        <v>0</v>
      </c>
      <c r="V55" s="83" t="s">
        <v>61</v>
      </c>
      <c r="W55" s="169">
        <v>0</v>
      </c>
      <c r="X55" s="169">
        <f>+[32]EEFF_TE_Per!X55</f>
        <v>0</v>
      </c>
    </row>
    <row r="56" spans="2:24" ht="15.5">
      <c r="B56" s="83" t="s">
        <v>74</v>
      </c>
      <c r="C56" s="118">
        <v>0</v>
      </c>
      <c r="D56" s="118">
        <v>0</v>
      </c>
      <c r="E56" s="118">
        <v>0</v>
      </c>
      <c r="F56" s="118">
        <v>0</v>
      </c>
      <c r="G56" s="118">
        <v>0</v>
      </c>
      <c r="H56" s="118">
        <v>0</v>
      </c>
      <c r="I56" s="118">
        <v>0</v>
      </c>
      <c r="J56" s="118">
        <v>0</v>
      </c>
      <c r="K56" s="118">
        <v>0</v>
      </c>
      <c r="L56" s="118">
        <v>0</v>
      </c>
      <c r="M56" s="118">
        <v>0</v>
      </c>
      <c r="N56" s="118">
        <v>0</v>
      </c>
      <c r="O56" s="118">
        <v>0</v>
      </c>
      <c r="P56" s="286">
        <v>0</v>
      </c>
      <c r="Q56" s="169"/>
      <c r="R56" s="169">
        <v>0</v>
      </c>
      <c r="S56" s="169">
        <v>0</v>
      </c>
      <c r="T56" s="169">
        <v>0</v>
      </c>
      <c r="V56" s="83" t="s">
        <v>74</v>
      </c>
      <c r="W56" s="169">
        <v>0</v>
      </c>
      <c r="X56" s="169">
        <f>+[32]EEFF_TE_Per!X56</f>
        <v>0</v>
      </c>
    </row>
    <row r="57" spans="2:24" ht="15.5">
      <c r="B57" s="83" t="s">
        <v>75</v>
      </c>
      <c r="C57" s="118">
        <v>0</v>
      </c>
      <c r="D57" s="118">
        <v>0</v>
      </c>
      <c r="E57" s="118">
        <v>0</v>
      </c>
      <c r="F57" s="118">
        <v>0</v>
      </c>
      <c r="G57" s="118">
        <v>0</v>
      </c>
      <c r="H57" s="118">
        <v>0</v>
      </c>
      <c r="I57" s="118">
        <v>0</v>
      </c>
      <c r="J57" s="118">
        <v>0</v>
      </c>
      <c r="K57" s="118">
        <v>0</v>
      </c>
      <c r="L57" s="118">
        <v>0</v>
      </c>
      <c r="M57" s="118">
        <v>0</v>
      </c>
      <c r="N57" s="118">
        <v>0</v>
      </c>
      <c r="O57" s="118">
        <v>0</v>
      </c>
      <c r="P57" s="286">
        <v>0</v>
      </c>
      <c r="Q57" s="169"/>
      <c r="R57" s="169">
        <v>0</v>
      </c>
      <c r="S57" s="169">
        <v>0</v>
      </c>
      <c r="T57" s="169">
        <v>0</v>
      </c>
      <c r="V57" s="83" t="s">
        <v>75</v>
      </c>
      <c r="W57" s="169">
        <v>0</v>
      </c>
      <c r="X57" s="169">
        <f>+[32]EEFF_TE_Per!X57</f>
        <v>0</v>
      </c>
    </row>
    <row r="58" spans="2:24" ht="15.5">
      <c r="B58" s="83" t="s">
        <v>62</v>
      </c>
      <c r="C58" s="118">
        <v>0</v>
      </c>
      <c r="D58" s="118">
        <v>0</v>
      </c>
      <c r="E58" s="118">
        <v>0</v>
      </c>
      <c r="F58" s="118">
        <v>0</v>
      </c>
      <c r="G58" s="118">
        <v>0</v>
      </c>
      <c r="H58" s="118">
        <v>0</v>
      </c>
      <c r="I58" s="118">
        <v>0</v>
      </c>
      <c r="J58" s="118">
        <v>0</v>
      </c>
      <c r="K58" s="118">
        <v>0</v>
      </c>
      <c r="L58" s="118">
        <v>0</v>
      </c>
      <c r="M58" s="118">
        <v>0</v>
      </c>
      <c r="N58" s="118">
        <v>0</v>
      </c>
      <c r="O58" s="118">
        <v>0</v>
      </c>
      <c r="P58" s="286">
        <v>0</v>
      </c>
      <c r="Q58" s="169"/>
      <c r="R58" s="169">
        <v>0</v>
      </c>
      <c r="S58" s="169">
        <v>0</v>
      </c>
      <c r="T58" s="169">
        <v>0</v>
      </c>
      <c r="V58" s="83" t="s">
        <v>62</v>
      </c>
      <c r="W58" s="169">
        <v>0</v>
      </c>
      <c r="X58" s="169">
        <f>+[32]EEFF_TE_Per!X58</f>
        <v>0</v>
      </c>
    </row>
    <row r="59" spans="2:24" ht="15.5" thickBot="1">
      <c r="B59" s="126" t="s">
        <v>77</v>
      </c>
      <c r="C59" s="131">
        <v>1246014.9442399999</v>
      </c>
      <c r="D59" s="131">
        <v>1369118.0025599999</v>
      </c>
      <c r="E59" s="131">
        <v>1378047.1451100002</v>
      </c>
      <c r="F59" s="131">
        <v>1379088.0478000001</v>
      </c>
      <c r="G59" s="131">
        <v>1378467.2932799999</v>
      </c>
      <c r="H59" s="131">
        <v>1379813.3237699999</v>
      </c>
      <c r="I59" s="131">
        <v>1372976.7454299999</v>
      </c>
      <c r="J59" s="131">
        <v>1364857.11965</v>
      </c>
      <c r="K59" s="131">
        <v>1372171.2976900002</v>
      </c>
      <c r="L59" s="131">
        <v>1406412.7213700002</v>
      </c>
      <c r="M59" s="131">
        <v>1428736.59895</v>
      </c>
      <c r="N59" s="154">
        <v>1449812.78094</v>
      </c>
      <c r="O59" s="154">
        <v>1508377</v>
      </c>
      <c r="P59" s="295">
        <f>SUM(P50:P58)</f>
        <v>1541214</v>
      </c>
      <c r="Q59" s="154">
        <f t="shared" ref="Q59" si="7">SUM(Q50:Q58)</f>
        <v>1569310</v>
      </c>
      <c r="R59" s="154">
        <v>1598593</v>
      </c>
      <c r="S59" s="154">
        <v>1632538.5972699998</v>
      </c>
      <c r="T59" s="154">
        <f t="shared" ref="T59" si="8">SUM(T50:T58)</f>
        <v>1680104</v>
      </c>
      <c r="V59" s="126" t="s">
        <v>77</v>
      </c>
      <c r="W59" s="154">
        <v>1688932.17298</v>
      </c>
      <c r="X59" s="154">
        <f>+[32]EEFF_TE_Per!X59</f>
        <v>1707235.2240899999</v>
      </c>
    </row>
    <row r="60" spans="2:24" ht="15.5" thickBot="1">
      <c r="B60" s="132" t="s">
        <v>78</v>
      </c>
      <c r="C60" s="133">
        <v>1319737.9841699998</v>
      </c>
      <c r="D60" s="133">
        <v>1432530.74239</v>
      </c>
      <c r="E60" s="133">
        <v>1502815.5859300001</v>
      </c>
      <c r="F60" s="133">
        <v>1452407.67405</v>
      </c>
      <c r="G60" s="133">
        <v>1467536.7701999999</v>
      </c>
      <c r="H60" s="133">
        <v>1474473.4148499998</v>
      </c>
      <c r="I60" s="133">
        <v>1473079.11362</v>
      </c>
      <c r="J60" s="133">
        <v>1492996.55531</v>
      </c>
      <c r="K60" s="133">
        <v>1514574.4826900002</v>
      </c>
      <c r="L60" s="133">
        <v>1536323.9278700002</v>
      </c>
      <c r="M60" s="133">
        <v>1570209.3873999999</v>
      </c>
      <c r="N60" s="155">
        <v>1606894.4873500001</v>
      </c>
      <c r="O60" s="155">
        <v>1769814</v>
      </c>
      <c r="P60" s="296">
        <f>P48+P59</f>
        <v>1807805</v>
      </c>
      <c r="Q60" s="155">
        <f t="shared" ref="Q60" si="9">Q48+Q59</f>
        <v>1822565</v>
      </c>
      <c r="R60" s="155">
        <v>1814614</v>
      </c>
      <c r="S60" s="155">
        <v>1806872.9502899998</v>
      </c>
      <c r="T60" s="155">
        <f t="shared" ref="T60" si="10">T48+T59</f>
        <v>1822344</v>
      </c>
      <c r="V60" s="132" t="s">
        <v>78</v>
      </c>
      <c r="W60" s="155">
        <v>1839023.3276200001</v>
      </c>
      <c r="X60" s="155">
        <f>+[32]EEFF_TE_Per!X60</f>
        <v>1815181.53526</v>
      </c>
    </row>
    <row r="61" spans="2:24" ht="15.5" thickBot="1">
      <c r="B61" s="134"/>
      <c r="C61" s="135"/>
      <c r="D61" s="135"/>
      <c r="E61" s="135"/>
      <c r="F61" s="135"/>
      <c r="G61" s="135"/>
      <c r="H61" s="135"/>
      <c r="I61" s="135"/>
      <c r="J61" s="135"/>
      <c r="K61" s="135"/>
      <c r="L61" s="135"/>
      <c r="M61" s="135"/>
      <c r="N61" s="156"/>
      <c r="O61" s="156"/>
      <c r="P61" s="297"/>
      <c r="Q61" s="156"/>
      <c r="R61" s="156"/>
      <c r="S61" s="156"/>
      <c r="V61" s="134"/>
    </row>
    <row r="62" spans="2:24" ht="15.5" thickBot="1">
      <c r="B62" s="124" t="s">
        <v>79</v>
      </c>
      <c r="C62" s="136"/>
      <c r="D62" s="136"/>
      <c r="E62" s="136"/>
      <c r="F62" s="136"/>
      <c r="G62" s="136"/>
      <c r="H62" s="136"/>
      <c r="I62" s="136"/>
      <c r="J62" s="136"/>
      <c r="K62" s="136"/>
      <c r="L62" s="136"/>
      <c r="M62" s="136"/>
      <c r="N62" s="157"/>
      <c r="O62" s="157"/>
      <c r="P62" s="298"/>
      <c r="Q62" s="157"/>
      <c r="R62" s="157"/>
      <c r="S62" s="157"/>
      <c r="T62" s="157"/>
      <c r="V62" s="124" t="s">
        <v>79</v>
      </c>
      <c r="W62" s="157"/>
      <c r="X62" s="157"/>
    </row>
    <row r="63" spans="2:24" ht="15.5" thickBot="1">
      <c r="B63" s="126" t="s">
        <v>80</v>
      </c>
      <c r="C63" s="137"/>
      <c r="D63" s="137"/>
      <c r="E63" s="137"/>
      <c r="F63" s="137"/>
      <c r="G63" s="137"/>
      <c r="H63" s="137"/>
      <c r="I63" s="137"/>
      <c r="J63" s="137"/>
      <c r="K63" s="137"/>
      <c r="L63" s="137"/>
      <c r="M63" s="137"/>
      <c r="N63" s="158"/>
      <c r="O63" s="158"/>
      <c r="P63" s="299"/>
      <c r="Q63" s="158"/>
      <c r="R63" s="158"/>
      <c r="S63" s="158"/>
      <c r="T63" s="158"/>
      <c r="V63" s="126" t="s">
        <v>80</v>
      </c>
      <c r="W63" s="158"/>
      <c r="X63" s="158"/>
    </row>
    <row r="64" spans="2:24" ht="15.5">
      <c r="B64" s="83" t="s">
        <v>286</v>
      </c>
      <c r="C64" s="118">
        <v>4495.8558599999997</v>
      </c>
      <c r="D64" s="118">
        <v>8379.9310999999998</v>
      </c>
      <c r="E64" s="118">
        <v>3949.8318599999998</v>
      </c>
      <c r="F64" s="118">
        <v>1945.8644099999999</v>
      </c>
      <c r="G64" s="118">
        <v>2817.27684</v>
      </c>
      <c r="H64" s="118">
        <v>5854.0709999999999</v>
      </c>
      <c r="I64" s="118">
        <v>4322.3543099999997</v>
      </c>
      <c r="J64" s="118">
        <v>1260.0704599999999</v>
      </c>
      <c r="K64" s="118">
        <v>9281.5932100000009</v>
      </c>
      <c r="L64" s="118">
        <v>14163.288400000001</v>
      </c>
      <c r="M64" s="118">
        <v>12988.08389</v>
      </c>
      <c r="N64" s="118">
        <v>8293.1468299999997</v>
      </c>
      <c r="O64" s="118">
        <v>10073</v>
      </c>
      <c r="P64" s="286">
        <v>9299</v>
      </c>
      <c r="Q64" s="169">
        <v>6457</v>
      </c>
      <c r="R64" s="169">
        <v>6115</v>
      </c>
      <c r="S64" s="169">
        <v>5630.39653</v>
      </c>
      <c r="T64" s="169">
        <v>8627</v>
      </c>
      <c r="V64" s="83" t="s">
        <v>286</v>
      </c>
      <c r="W64" s="169">
        <v>5338.8266399999993</v>
      </c>
      <c r="X64" s="169">
        <f>+[32]EEFF_TE_Per!X64</f>
        <v>4159.9601000000002</v>
      </c>
    </row>
    <row r="65" spans="2:24" ht="15.5">
      <c r="B65" s="83" t="s">
        <v>287</v>
      </c>
      <c r="C65" s="118">
        <v>4734.8090000000002</v>
      </c>
      <c r="D65" s="118">
        <v>3878.7779999999998</v>
      </c>
      <c r="E65" s="118">
        <v>11361.17361</v>
      </c>
      <c r="F65" s="118">
        <v>13009.458359999997</v>
      </c>
      <c r="G65" s="118">
        <v>17959.353299999995</v>
      </c>
      <c r="H65" s="118">
        <v>6202.8850000000002</v>
      </c>
      <c r="I65" s="118">
        <v>17144.553680000005</v>
      </c>
      <c r="J65" s="118">
        <v>18190.772459999993</v>
      </c>
      <c r="K65" s="118">
        <v>26451.918600000001</v>
      </c>
      <c r="L65" s="118">
        <v>7624.3639999999996</v>
      </c>
      <c r="M65" s="118">
        <v>24128.544909999997</v>
      </c>
      <c r="N65" s="118">
        <v>13414.86085999999</v>
      </c>
      <c r="O65" s="118">
        <v>44110</v>
      </c>
      <c r="P65" s="286">
        <v>9934</v>
      </c>
      <c r="Q65" s="169">
        <v>11753</v>
      </c>
      <c r="R65" s="169">
        <v>5902</v>
      </c>
      <c r="S65" s="169">
        <v>12499.7444</v>
      </c>
      <c r="T65" s="169">
        <v>12501</v>
      </c>
      <c r="V65" s="83" t="s">
        <v>287</v>
      </c>
      <c r="W65" s="169">
        <v>3058.0942</v>
      </c>
      <c r="X65" s="169">
        <f>+[32]EEFF_TE_Per!X65</f>
        <v>5653.0208899999998</v>
      </c>
    </row>
    <row r="66" spans="2:24" ht="15.5">
      <c r="B66" s="83" t="s">
        <v>288</v>
      </c>
      <c r="C66" s="118">
        <v>120368.42105263159</v>
      </c>
      <c r="D66" s="118">
        <v>28206.668000000001</v>
      </c>
      <c r="E66" s="118">
        <v>48207.599000000002</v>
      </c>
      <c r="F66" s="118">
        <v>90491.48083</v>
      </c>
      <c r="G66" s="118">
        <v>83422.414930000014</v>
      </c>
      <c r="H66" s="118">
        <v>90782.826109999995</v>
      </c>
      <c r="I66" s="118">
        <v>63930.995219999997</v>
      </c>
      <c r="J66" s="118">
        <v>15000</v>
      </c>
      <c r="K66" s="118">
        <v>0</v>
      </c>
      <c r="L66" s="118">
        <v>0</v>
      </c>
      <c r="M66" s="118">
        <v>0</v>
      </c>
      <c r="N66" s="118">
        <v>100000</v>
      </c>
      <c r="O66" s="118">
        <v>0</v>
      </c>
      <c r="P66" s="286">
        <v>1504</v>
      </c>
      <c r="Q66" s="169">
        <v>47255</v>
      </c>
      <c r="R66" s="169">
        <v>84892</v>
      </c>
      <c r="S66" s="169">
        <v>96792.098299999998</v>
      </c>
      <c r="T66" s="169">
        <v>84691</v>
      </c>
      <c r="V66" s="83" t="s">
        <v>288</v>
      </c>
      <c r="W66" s="169">
        <v>96330.730500000005</v>
      </c>
      <c r="X66" s="169">
        <f>+[32]EEFF_TE_Per!X66</f>
        <v>19787.036929999998</v>
      </c>
    </row>
    <row r="67" spans="2:24" ht="15.5">
      <c r="B67" s="83" t="s">
        <v>289</v>
      </c>
      <c r="C67" s="118">
        <v>23872.601119999999</v>
      </c>
      <c r="D67" s="118">
        <v>15878.199329999999</v>
      </c>
      <c r="E67" s="118">
        <v>72533.666549999994</v>
      </c>
      <c r="F67" s="118">
        <v>9023.5958100000007</v>
      </c>
      <c r="G67" s="118">
        <v>5316.5259400000004</v>
      </c>
      <c r="H67" s="118">
        <v>8541.9537700000001</v>
      </c>
      <c r="I67" s="118">
        <v>8397.3404300000002</v>
      </c>
      <c r="J67" s="118">
        <v>6750.1602400000002</v>
      </c>
      <c r="K67" s="118">
        <v>5295.8337300000003</v>
      </c>
      <c r="L67" s="118">
        <v>17222.496829999996</v>
      </c>
      <c r="M67" s="118">
        <v>14317.83124</v>
      </c>
      <c r="N67" s="118">
        <v>8715.1798500000004</v>
      </c>
      <c r="O67" s="118">
        <v>11257</v>
      </c>
      <c r="P67" s="286">
        <v>35091</v>
      </c>
      <c r="Q67" s="169">
        <v>76904</v>
      </c>
      <c r="R67" s="169">
        <v>11712</v>
      </c>
      <c r="S67" s="169">
        <v>14209.23</v>
      </c>
      <c r="T67" s="169">
        <v>17664</v>
      </c>
      <c r="V67" s="83" t="s">
        <v>289</v>
      </c>
      <c r="W67" s="169">
        <v>31546.070179999999</v>
      </c>
      <c r="X67" s="169">
        <f>+[32]EEFF_TE_Per!X67</f>
        <v>11520.520289999999</v>
      </c>
    </row>
    <row r="68" spans="2:24" ht="15.5">
      <c r="B68" s="83" t="s">
        <v>290</v>
      </c>
      <c r="C68" s="118">
        <v>3456.252</v>
      </c>
      <c r="D68" s="118">
        <v>1676.0319999999999</v>
      </c>
      <c r="E68" s="118">
        <v>1614.67092</v>
      </c>
      <c r="F68" s="118">
        <v>1614.67092</v>
      </c>
      <c r="G68" s="118">
        <v>1614.67092</v>
      </c>
      <c r="H68" s="118">
        <v>1729.8309999999999</v>
      </c>
      <c r="I68" s="118">
        <v>1718.6699199999998</v>
      </c>
      <c r="J68" s="118">
        <v>1718.6699199999998</v>
      </c>
      <c r="K68" s="118">
        <v>1718.6699199999998</v>
      </c>
      <c r="L68" s="118">
        <v>2468.5070000000001</v>
      </c>
      <c r="M68" s="118">
        <v>2441.5359199999998</v>
      </c>
      <c r="N68" s="118">
        <v>2441.5359199999998</v>
      </c>
      <c r="O68" s="118">
        <v>2441</v>
      </c>
      <c r="P68" s="286">
        <v>3233</v>
      </c>
      <c r="Q68" s="169"/>
      <c r="R68" s="169">
        <v>3233</v>
      </c>
      <c r="S68" s="169">
        <v>3232.6898300000003</v>
      </c>
      <c r="T68" s="169">
        <v>1365</v>
      </c>
      <c r="V68" s="83" t="s">
        <v>290</v>
      </c>
      <c r="W68" s="169">
        <v>1365.8307500000001</v>
      </c>
      <c r="X68" s="169">
        <f>+[32]EEFF_TE_Per!X68</f>
        <v>1365.8307500000001</v>
      </c>
    </row>
    <row r="69" spans="2:24" ht="15.5" thickBot="1">
      <c r="B69" s="126" t="s">
        <v>88</v>
      </c>
      <c r="C69" s="131">
        <v>156927.93903263161</v>
      </c>
      <c r="D69" s="131">
        <v>58019.60843</v>
      </c>
      <c r="E69" s="131">
        <v>137666.94193999999</v>
      </c>
      <c r="F69" s="131">
        <v>116085.07033</v>
      </c>
      <c r="G69" s="131">
        <v>111130.24193000002</v>
      </c>
      <c r="H69" s="131">
        <v>113111.56688</v>
      </c>
      <c r="I69" s="131">
        <v>95513.913560000001</v>
      </c>
      <c r="J69" s="131">
        <v>42919.673079999993</v>
      </c>
      <c r="K69" s="131">
        <v>42748.015460000002</v>
      </c>
      <c r="L69" s="131">
        <v>41478.656229999993</v>
      </c>
      <c r="M69" s="131">
        <v>53875.99596</v>
      </c>
      <c r="N69" s="154">
        <v>132864.72346000001</v>
      </c>
      <c r="O69" s="154">
        <v>67881</v>
      </c>
      <c r="P69" s="295">
        <f>SUM(P64:P68)</f>
        <v>59061</v>
      </c>
      <c r="Q69" s="154">
        <f>SUM(Q64:Q68)</f>
        <v>142369</v>
      </c>
      <c r="R69" s="154">
        <v>111854</v>
      </c>
      <c r="S69" s="154">
        <v>132364.15906000001</v>
      </c>
      <c r="T69" s="154">
        <f>SUM(T64:T68)</f>
        <v>124848</v>
      </c>
      <c r="V69" s="126" t="s">
        <v>88</v>
      </c>
      <c r="W69" s="154">
        <v>137639.55227000001</v>
      </c>
      <c r="X69" s="154">
        <f>+[32]EEFF_TE_Per!X69</f>
        <v>42486.36896</v>
      </c>
    </row>
    <row r="70" spans="2:24" ht="15.5" thickBot="1">
      <c r="B70" s="138" t="s">
        <v>89</v>
      </c>
      <c r="C70" s="139"/>
      <c r="D70" s="139"/>
      <c r="E70" s="139"/>
      <c r="F70" s="139"/>
      <c r="G70" s="139"/>
      <c r="H70" s="139"/>
      <c r="I70" s="139"/>
      <c r="J70" s="139"/>
      <c r="K70" s="139"/>
      <c r="L70" s="139"/>
      <c r="M70" s="139"/>
      <c r="N70" s="159"/>
      <c r="O70" s="159"/>
      <c r="P70" s="300"/>
      <c r="Q70" s="159"/>
      <c r="R70" s="159"/>
      <c r="S70" s="159"/>
      <c r="T70" s="159"/>
      <c r="V70" s="138" t="s">
        <v>89</v>
      </c>
      <c r="W70" s="159"/>
      <c r="X70" s="159">
        <f>+[32]EEFF_TE_Per!X70</f>
        <v>0</v>
      </c>
    </row>
    <row r="71" spans="2:24" ht="15.5">
      <c r="B71" s="83" t="s">
        <v>291</v>
      </c>
      <c r="C71" s="118">
        <v>1051.0146499999998</v>
      </c>
      <c r="D71" s="118">
        <v>1015.90939</v>
      </c>
      <c r="E71" s="118">
        <v>1015.90939</v>
      </c>
      <c r="F71" s="118">
        <v>919.55375000000004</v>
      </c>
      <c r="G71" s="118">
        <v>897.07326999999998</v>
      </c>
      <c r="H71" s="118">
        <v>874.90928000000008</v>
      </c>
      <c r="I71" s="118">
        <v>852.77043000000003</v>
      </c>
      <c r="J71" s="118">
        <v>830.54120999999998</v>
      </c>
      <c r="K71" s="118">
        <v>806.86728000000005</v>
      </c>
      <c r="L71" s="118">
        <v>783.90521000000001</v>
      </c>
      <c r="M71" s="118">
        <v>768.68551000000002</v>
      </c>
      <c r="N71" s="118">
        <v>737.74070999999992</v>
      </c>
      <c r="O71" s="118">
        <v>645</v>
      </c>
      <c r="P71" s="286">
        <v>1047</v>
      </c>
      <c r="Q71" s="169">
        <v>1025</v>
      </c>
      <c r="R71" s="169">
        <v>1003</v>
      </c>
      <c r="S71" s="169">
        <v>980.50080000000003</v>
      </c>
      <c r="T71" s="169">
        <v>957</v>
      </c>
      <c r="V71" s="83" t="s">
        <v>291</v>
      </c>
      <c r="W71" s="169">
        <v>925.56916000000001</v>
      </c>
      <c r="X71" s="169">
        <f>+[32]EEFF_TE_Per!X71</f>
        <v>900.14096999999992</v>
      </c>
    </row>
    <row r="72" spans="2:24" ht="15.5">
      <c r="B72" s="83" t="s">
        <v>292</v>
      </c>
      <c r="C72" s="118">
        <v>616277.39800000004</v>
      </c>
      <c r="D72" s="118">
        <v>758206.64932999993</v>
      </c>
      <c r="E72" s="118">
        <v>793583.54624000005</v>
      </c>
      <c r="F72" s="118">
        <v>744631.88431999995</v>
      </c>
      <c r="G72" s="118">
        <v>745076.15850999998</v>
      </c>
      <c r="H72" s="118">
        <v>730999.56871000002</v>
      </c>
      <c r="I72" s="118">
        <v>724112.16554999992</v>
      </c>
      <c r="J72" s="118">
        <v>845118.49503000011</v>
      </c>
      <c r="K72" s="118">
        <v>844954.25805999991</v>
      </c>
      <c r="L72" s="118">
        <v>845164.12774000003</v>
      </c>
      <c r="M72" s="118">
        <v>845402.18974000006</v>
      </c>
      <c r="N72" s="118">
        <v>845597.47574000002</v>
      </c>
      <c r="O72" s="118">
        <v>1050000</v>
      </c>
      <c r="P72" s="286">
        <v>1075668</v>
      </c>
      <c r="Q72" s="169">
        <v>1050000</v>
      </c>
      <c r="R72" s="169">
        <v>1050000</v>
      </c>
      <c r="S72" s="169">
        <v>1050000</v>
      </c>
      <c r="T72" s="169">
        <v>1050000</v>
      </c>
      <c r="V72" s="83" t="s">
        <v>292</v>
      </c>
      <c r="W72" s="169">
        <v>1050000</v>
      </c>
      <c r="X72" s="169">
        <f>+[32]EEFF_TE_Per!X72</f>
        <v>1100000</v>
      </c>
    </row>
    <row r="73" spans="2:24" ht="15.5">
      <c r="B73" s="83" t="s">
        <v>85</v>
      </c>
      <c r="C73" s="118">
        <v>7618.84</v>
      </c>
      <c r="D73" s="118">
        <v>11895.880060000001</v>
      </c>
      <c r="E73" s="118">
        <v>14123.878419999999</v>
      </c>
      <c r="F73" s="118">
        <v>16316.48659</v>
      </c>
      <c r="G73" s="118">
        <v>17611.174579999999</v>
      </c>
      <c r="H73" s="118">
        <v>16456.04435</v>
      </c>
      <c r="I73" s="118">
        <v>17562.629069999999</v>
      </c>
      <c r="J73" s="118">
        <v>18339.15669</v>
      </c>
      <c r="K73" s="118">
        <v>19195.551950000001</v>
      </c>
      <c r="L73" s="118">
        <v>18843.485760000003</v>
      </c>
      <c r="M73" s="118">
        <v>20808.110199999999</v>
      </c>
      <c r="N73" s="118">
        <v>22633.236260000001</v>
      </c>
      <c r="O73" s="118">
        <v>23991</v>
      </c>
      <c r="P73" s="286">
        <v>23173</v>
      </c>
      <c r="Q73" s="169">
        <v>24338</v>
      </c>
      <c r="R73" s="169">
        <v>25379</v>
      </c>
      <c r="S73" s="169">
        <v>26340.200519999999</v>
      </c>
      <c r="T73" s="169">
        <v>29255</v>
      </c>
      <c r="V73" s="83" t="s">
        <v>85</v>
      </c>
      <c r="W73" s="169">
        <v>30025.11837</v>
      </c>
      <c r="X73" s="169">
        <f>+[32]EEFF_TE_Per!X73</f>
        <v>30937.582569999999</v>
      </c>
    </row>
    <row r="74" spans="2:24" ht="15.5">
      <c r="B74" s="83" t="s">
        <v>293</v>
      </c>
      <c r="C74" s="118">
        <v>84072.864000000001</v>
      </c>
      <c r="D74" s="118">
        <v>0</v>
      </c>
      <c r="E74" s="118">
        <v>0</v>
      </c>
      <c r="F74" s="118">
        <v>0</v>
      </c>
      <c r="G74" s="118">
        <v>0</v>
      </c>
      <c r="H74" s="118">
        <v>0</v>
      </c>
      <c r="I74" s="118">
        <v>0</v>
      </c>
      <c r="J74" s="118">
        <v>0</v>
      </c>
      <c r="K74" s="118">
        <v>0</v>
      </c>
      <c r="L74" s="118">
        <v>0</v>
      </c>
      <c r="M74" s="118">
        <v>0</v>
      </c>
      <c r="N74" s="118">
        <v>0</v>
      </c>
      <c r="O74" s="118">
        <v>0</v>
      </c>
      <c r="P74" s="286">
        <v>0</v>
      </c>
      <c r="Q74" s="169">
        <v>0</v>
      </c>
      <c r="R74" s="169">
        <v>0</v>
      </c>
      <c r="S74" s="169">
        <v>0</v>
      </c>
      <c r="T74" s="169">
        <v>0</v>
      </c>
      <c r="V74" s="83" t="s">
        <v>293</v>
      </c>
      <c r="W74" s="169">
        <v>0</v>
      </c>
      <c r="X74" s="169">
        <f>+[32]EEFF_TE_Per!X74</f>
        <v>0</v>
      </c>
    </row>
    <row r="75" spans="2:24" ht="15.5">
      <c r="B75" s="83" t="s">
        <v>116</v>
      </c>
      <c r="C75" s="118">
        <v>0</v>
      </c>
      <c r="D75" s="118">
        <v>104712.27099999999</v>
      </c>
      <c r="E75" s="118">
        <v>110128.52305</v>
      </c>
      <c r="F75" s="118">
        <v>115733.90889000001</v>
      </c>
      <c r="G75" s="118">
        <v>121330.149</v>
      </c>
      <c r="H75" s="118">
        <v>127971.56600000001</v>
      </c>
      <c r="I75" s="118">
        <v>134357.59452000001</v>
      </c>
      <c r="J75" s="118">
        <v>139341.226</v>
      </c>
      <c r="K75" s="118">
        <v>145907.77802</v>
      </c>
      <c r="L75" s="118">
        <v>152635.15982</v>
      </c>
      <c r="M75" s="118">
        <v>158425.17157000001</v>
      </c>
      <c r="N75" s="118">
        <v>164625.56788999998</v>
      </c>
      <c r="O75" s="118">
        <v>170342</v>
      </c>
      <c r="P75" s="286">
        <v>176453</v>
      </c>
      <c r="Q75" s="169">
        <v>181784</v>
      </c>
      <c r="R75" s="169">
        <v>187981</v>
      </c>
      <c r="S75" s="169">
        <v>192453.63237000001</v>
      </c>
      <c r="T75" s="169">
        <v>197203</v>
      </c>
      <c r="V75" s="83" t="s">
        <v>116</v>
      </c>
      <c r="W75" s="169">
        <v>202647.02911</v>
      </c>
      <c r="X75" s="169">
        <f>+[32]EEFF_TE_Per!X75</f>
        <v>204992.48846000002</v>
      </c>
    </row>
    <row r="76" spans="2:24" ht="15.5" thickBot="1">
      <c r="B76" s="126" t="s">
        <v>91</v>
      </c>
      <c r="C76" s="131">
        <v>709020.11664999998</v>
      </c>
      <c r="D76" s="131">
        <v>875830.70977999992</v>
      </c>
      <c r="E76" s="131">
        <v>918851.85710000002</v>
      </c>
      <c r="F76" s="131">
        <v>877601.83354999986</v>
      </c>
      <c r="G76" s="131">
        <v>884914.55536</v>
      </c>
      <c r="H76" s="131">
        <v>876302.08834000002</v>
      </c>
      <c r="I76" s="131">
        <v>876885.15957000002</v>
      </c>
      <c r="J76" s="131">
        <v>1003629.4189300002</v>
      </c>
      <c r="K76" s="131">
        <v>1010864.4553099999</v>
      </c>
      <c r="L76" s="131">
        <v>1017426.6785299999</v>
      </c>
      <c r="M76" s="131">
        <v>1025404.15702</v>
      </c>
      <c r="N76" s="154">
        <v>1033594.0206</v>
      </c>
      <c r="O76" s="154">
        <v>1244978</v>
      </c>
      <c r="P76" s="295">
        <f>SUM(P71:P75)</f>
        <v>1276341</v>
      </c>
      <c r="Q76" s="154">
        <f t="shared" ref="Q76" si="11">SUM(Q71:Q75)</f>
        <v>1257147</v>
      </c>
      <c r="R76" s="154">
        <v>1264363</v>
      </c>
      <c r="S76" s="154">
        <v>1269774.33369</v>
      </c>
      <c r="T76" s="154">
        <f t="shared" ref="T76" si="12">SUM(T71:T75)</f>
        <v>1277415</v>
      </c>
      <c r="V76" s="126" t="s">
        <v>91</v>
      </c>
      <c r="W76" s="154">
        <v>1283597.71664</v>
      </c>
      <c r="X76" s="154">
        <f>+[32]EEFF_TE_Per!X76</f>
        <v>1336830.2120000003</v>
      </c>
    </row>
    <row r="77" spans="2:24" ht="15.5" thickBot="1">
      <c r="B77" s="132" t="s">
        <v>92</v>
      </c>
      <c r="C77" s="133">
        <v>865948.05568263156</v>
      </c>
      <c r="D77" s="133">
        <v>933850.31820999994</v>
      </c>
      <c r="E77" s="133">
        <v>1056518.79904</v>
      </c>
      <c r="F77" s="133">
        <v>993686.90387999988</v>
      </c>
      <c r="G77" s="133">
        <v>996044.79729000002</v>
      </c>
      <c r="H77" s="133">
        <v>989413.65522000007</v>
      </c>
      <c r="I77" s="133">
        <v>972399.07313000003</v>
      </c>
      <c r="J77" s="133">
        <v>1046549.0920100001</v>
      </c>
      <c r="K77" s="133">
        <v>1053612.4707699998</v>
      </c>
      <c r="L77" s="133">
        <v>1058905.33476</v>
      </c>
      <c r="M77" s="133">
        <v>1079280.15298</v>
      </c>
      <c r="N77" s="155">
        <v>1166458.7440599999</v>
      </c>
      <c r="O77" s="155">
        <v>1312859</v>
      </c>
      <c r="P77" s="296">
        <f>P69+P76</f>
        <v>1335402</v>
      </c>
      <c r="Q77" s="155">
        <f t="shared" ref="Q77" si="13">Q69+Q76</f>
        <v>1399516</v>
      </c>
      <c r="R77" s="155">
        <v>1376217</v>
      </c>
      <c r="S77" s="155">
        <v>1402138.49275</v>
      </c>
      <c r="T77" s="155">
        <f t="shared" ref="T77" si="14">T69+T76</f>
        <v>1402263</v>
      </c>
      <c r="V77" s="132" t="s">
        <v>92</v>
      </c>
      <c r="W77" s="155">
        <v>1421237.2689100001</v>
      </c>
      <c r="X77" s="155">
        <f>+[32]EEFF_TE_Per!X77</f>
        <v>1379316.5809600004</v>
      </c>
    </row>
    <row r="78" spans="2:24" ht="15.5" thickBot="1">
      <c r="B78" s="134"/>
      <c r="C78" s="135"/>
      <c r="D78" s="135"/>
      <c r="E78" s="135"/>
      <c r="F78" s="135"/>
      <c r="G78" s="135"/>
      <c r="H78" s="135"/>
      <c r="I78" s="135"/>
      <c r="J78" s="135"/>
      <c r="K78" s="135"/>
      <c r="L78" s="135"/>
      <c r="M78" s="135"/>
      <c r="N78" s="156"/>
      <c r="O78" s="156"/>
      <c r="P78" s="297"/>
      <c r="Q78" s="156"/>
      <c r="R78" s="156"/>
      <c r="S78" s="156"/>
      <c r="T78" s="156"/>
      <c r="V78" s="134"/>
      <c r="W78" s="156"/>
      <c r="X78" s="156">
        <f>+[32]EEFF_TE_Per!X78</f>
        <v>0</v>
      </c>
    </row>
    <row r="79" spans="2:24" ht="15.5" thickBot="1">
      <c r="B79" s="140" t="s">
        <v>93</v>
      </c>
      <c r="C79" s="139"/>
      <c r="D79" s="139"/>
      <c r="E79" s="139"/>
      <c r="F79" s="139"/>
      <c r="G79" s="139"/>
      <c r="H79" s="139"/>
      <c r="I79" s="139"/>
      <c r="J79" s="139"/>
      <c r="K79" s="139"/>
      <c r="L79" s="139"/>
      <c r="M79" s="139"/>
      <c r="N79" s="159"/>
      <c r="O79" s="159"/>
      <c r="P79" s="300"/>
      <c r="Q79" s="159"/>
      <c r="R79" s="159"/>
      <c r="S79" s="159"/>
      <c r="T79" s="159"/>
      <c r="V79" s="140" t="s">
        <v>93</v>
      </c>
      <c r="W79" s="159"/>
      <c r="X79" s="159">
        <f>+[32]EEFF_TE_Per!X79</f>
        <v>0</v>
      </c>
    </row>
    <row r="80" spans="2:24" ht="15.5">
      <c r="B80" s="83" t="s">
        <v>94</v>
      </c>
      <c r="C80" s="118">
        <v>265409.19397999998</v>
      </c>
      <c r="D80" s="118">
        <v>265409.19397999998</v>
      </c>
      <c r="E80" s="118">
        <v>265409.19397999998</v>
      </c>
      <c r="F80" s="118">
        <v>265409.19397999998</v>
      </c>
      <c r="G80" s="118">
        <v>265409.19397999998</v>
      </c>
      <c r="H80" s="118">
        <v>265409.19397999998</v>
      </c>
      <c r="I80" s="118">
        <v>265409.19397999998</v>
      </c>
      <c r="J80" s="118">
        <v>265409.19397999998</v>
      </c>
      <c r="K80" s="118">
        <v>265409.19397999998</v>
      </c>
      <c r="L80" s="118">
        <v>265409.19397999998</v>
      </c>
      <c r="M80" s="118">
        <v>265409.19397999998</v>
      </c>
      <c r="N80" s="118">
        <v>265409.19397999998</v>
      </c>
      <c r="O80" s="118">
        <v>265409</v>
      </c>
      <c r="P80" s="286">
        <v>265409</v>
      </c>
      <c r="Q80" s="169">
        <v>265409</v>
      </c>
      <c r="R80" s="169">
        <v>265409</v>
      </c>
      <c r="S80" s="169">
        <v>265409.19397999998</v>
      </c>
      <c r="T80" s="169">
        <v>265409.19397999998</v>
      </c>
      <c r="V80" s="83" t="s">
        <v>94</v>
      </c>
      <c r="W80" s="169">
        <v>265409.19397999998</v>
      </c>
      <c r="X80" s="169">
        <f>+[32]EEFF_TE_Per!X80</f>
        <v>265409.19397999998</v>
      </c>
    </row>
    <row r="81" spans="1:24" ht="15.5">
      <c r="B81" s="83" t="s">
        <v>95</v>
      </c>
      <c r="C81" s="118">
        <v>0</v>
      </c>
      <c r="D81" s="118">
        <v>0</v>
      </c>
      <c r="E81" s="118">
        <v>0</v>
      </c>
      <c r="F81" s="118">
        <v>0</v>
      </c>
      <c r="G81" s="118">
        <v>0</v>
      </c>
      <c r="H81" s="118">
        <v>0</v>
      </c>
      <c r="I81" s="118">
        <v>0</v>
      </c>
      <c r="J81" s="118">
        <v>0</v>
      </c>
      <c r="K81" s="118">
        <v>0</v>
      </c>
      <c r="L81" s="118">
        <v>0</v>
      </c>
      <c r="M81" s="118">
        <v>0</v>
      </c>
      <c r="N81" s="118">
        <v>0</v>
      </c>
      <c r="O81" s="118">
        <v>0</v>
      </c>
      <c r="P81" s="286">
        <v>0</v>
      </c>
      <c r="Q81" s="169">
        <v>0</v>
      </c>
      <c r="R81" s="169">
        <v>0</v>
      </c>
      <c r="S81" s="169">
        <v>0</v>
      </c>
      <c r="T81" s="169">
        <v>0</v>
      </c>
      <c r="V81" s="83" t="s">
        <v>95</v>
      </c>
      <c r="W81" s="169">
        <v>0</v>
      </c>
      <c r="X81" s="169">
        <f>+[32]EEFF_TE_Per!X81</f>
        <v>0</v>
      </c>
    </row>
    <row r="82" spans="1:24" ht="15.5">
      <c r="B82" s="83" t="s">
        <v>294</v>
      </c>
      <c r="C82" s="118">
        <v>18213.73155</v>
      </c>
      <c r="D82" s="118">
        <v>22516.466550000001</v>
      </c>
      <c r="E82" s="118">
        <v>27005.51655</v>
      </c>
      <c r="F82" s="118">
        <v>27005.51655</v>
      </c>
      <c r="G82" s="118">
        <v>27005.51655</v>
      </c>
      <c r="H82" s="118">
        <v>27005.51655</v>
      </c>
      <c r="I82" s="118">
        <v>27005.517</v>
      </c>
      <c r="J82" s="118">
        <v>32175.186550000002</v>
      </c>
      <c r="K82" s="118">
        <v>32175.186550000002</v>
      </c>
      <c r="L82" s="118">
        <v>32175.186550000002</v>
      </c>
      <c r="M82" s="118">
        <v>37911.06955</v>
      </c>
      <c r="N82" s="118">
        <v>37911.06955</v>
      </c>
      <c r="O82" s="118">
        <v>37911</v>
      </c>
      <c r="P82" s="286">
        <v>37911</v>
      </c>
      <c r="Q82" s="169">
        <v>43910</v>
      </c>
      <c r="R82" s="169">
        <v>43910</v>
      </c>
      <c r="S82" s="169">
        <v>43909.538549999997</v>
      </c>
      <c r="T82" s="169">
        <v>43910</v>
      </c>
      <c r="V82" s="83" t="s">
        <v>294</v>
      </c>
      <c r="W82" s="169">
        <v>50177.250549999997</v>
      </c>
      <c r="X82" s="169">
        <f>+[32]EEFF_TE_Per!X82</f>
        <v>50177.250549999997</v>
      </c>
    </row>
    <row r="83" spans="1:24" ht="15.5">
      <c r="B83" s="83" t="s">
        <v>295</v>
      </c>
      <c r="C83" s="118">
        <v>127139.65247</v>
      </c>
      <c r="D83" s="118">
        <v>210754.76357999994</v>
      </c>
      <c r="E83" s="118">
        <v>153882.07629000003</v>
      </c>
      <c r="F83" s="118">
        <v>166306.05958</v>
      </c>
      <c r="G83" s="118">
        <v>179077.26233</v>
      </c>
      <c r="H83" s="118">
        <v>192645.04902999999</v>
      </c>
      <c r="I83" s="118">
        <v>208265.32913</v>
      </c>
      <c r="J83" s="118">
        <v>148863.08302000002</v>
      </c>
      <c r="K83" s="118">
        <v>163377.63139</v>
      </c>
      <c r="L83" s="118">
        <v>179834.21222999995</v>
      </c>
      <c r="M83" s="118">
        <v>187608.97097999998</v>
      </c>
      <c r="N83" s="118">
        <v>137115.47936999999</v>
      </c>
      <c r="O83" s="118">
        <v>153635</v>
      </c>
      <c r="P83" s="286">
        <v>169083</v>
      </c>
      <c r="Q83" s="169">
        <v>113730</v>
      </c>
      <c r="R83" s="169">
        <v>129078</v>
      </c>
      <c r="S83" s="169">
        <v>95415.725009999995</v>
      </c>
      <c r="T83" s="169">
        <v>110762</v>
      </c>
      <c r="V83" s="83" t="s">
        <v>295</v>
      </c>
      <c r="W83" s="169">
        <v>102199.61418</v>
      </c>
      <c r="X83" s="169">
        <f>+[32]EEFF_TE_Per!X83</f>
        <v>120278.50977</v>
      </c>
    </row>
    <row r="84" spans="1:24" ht="15.5">
      <c r="B84" s="83" t="s">
        <v>98</v>
      </c>
      <c r="C84" s="118">
        <v>43027.350349999993</v>
      </c>
      <c r="D84" s="118">
        <v>0</v>
      </c>
      <c r="E84" s="118">
        <v>0</v>
      </c>
      <c r="F84" s="118">
        <v>0</v>
      </c>
      <c r="G84" s="118">
        <v>0</v>
      </c>
      <c r="H84" s="118">
        <v>0</v>
      </c>
      <c r="I84" s="118">
        <v>0</v>
      </c>
      <c r="J84" s="118">
        <v>0</v>
      </c>
      <c r="K84" s="118">
        <v>0</v>
      </c>
      <c r="L84" s="118">
        <v>0</v>
      </c>
      <c r="M84" s="118">
        <v>0</v>
      </c>
      <c r="N84" s="118">
        <v>0</v>
      </c>
      <c r="O84" s="118">
        <v>0</v>
      </c>
      <c r="P84" s="286">
        <v>0</v>
      </c>
      <c r="Q84" s="169">
        <v>0</v>
      </c>
      <c r="R84" s="169">
        <v>0</v>
      </c>
      <c r="S84" s="169">
        <v>0</v>
      </c>
      <c r="T84" s="169">
        <v>0</v>
      </c>
      <c r="V84" s="83" t="s">
        <v>98</v>
      </c>
      <c r="W84" s="169">
        <v>0</v>
      </c>
      <c r="X84" s="169">
        <f>+[32]EEFF_TE_Per!X84</f>
        <v>0</v>
      </c>
    </row>
    <row r="85" spans="1:24" ht="15.5">
      <c r="B85" s="83" t="s">
        <v>99</v>
      </c>
      <c r="C85" s="118">
        <v>0</v>
      </c>
      <c r="D85" s="118">
        <v>0</v>
      </c>
      <c r="E85" s="118">
        <v>0</v>
      </c>
      <c r="F85" s="118">
        <v>0</v>
      </c>
      <c r="G85" s="118">
        <v>0</v>
      </c>
      <c r="H85" s="118">
        <v>0</v>
      </c>
      <c r="I85" s="118">
        <v>0</v>
      </c>
      <c r="J85" s="118">
        <v>0</v>
      </c>
      <c r="K85" s="118">
        <v>0</v>
      </c>
      <c r="L85" s="118">
        <v>0</v>
      </c>
      <c r="M85" s="118">
        <v>0</v>
      </c>
      <c r="N85" s="118">
        <v>0</v>
      </c>
      <c r="O85" s="118">
        <v>0</v>
      </c>
      <c r="P85" s="286">
        <v>0</v>
      </c>
      <c r="Q85" s="169">
        <v>0</v>
      </c>
      <c r="R85" s="169">
        <v>0</v>
      </c>
      <c r="S85" s="169">
        <v>0</v>
      </c>
      <c r="T85" s="169">
        <v>0</v>
      </c>
      <c r="V85" s="83" t="s">
        <v>99</v>
      </c>
      <c r="W85" s="169">
        <v>0</v>
      </c>
      <c r="X85" s="169">
        <f>+[32]EEFF_TE_Per!X85</f>
        <v>0</v>
      </c>
    </row>
    <row r="86" spans="1:24" ht="15.5" thickBot="1">
      <c r="B86" s="126" t="s">
        <v>102</v>
      </c>
      <c r="C86" s="131">
        <v>453789.92834999994</v>
      </c>
      <c r="D86" s="131">
        <v>498680.42410999991</v>
      </c>
      <c r="E86" s="131">
        <v>446296.78682000004</v>
      </c>
      <c r="F86" s="131">
        <v>458720.77010999998</v>
      </c>
      <c r="G86" s="131">
        <v>471491.97285999998</v>
      </c>
      <c r="H86" s="131">
        <v>485059.75955999998</v>
      </c>
      <c r="I86" s="131">
        <v>500680.04010999994</v>
      </c>
      <c r="J86" s="131">
        <v>446447.46354999999</v>
      </c>
      <c r="K86" s="131">
        <v>460962.01191999996</v>
      </c>
      <c r="L86" s="131">
        <v>477418.59275999991</v>
      </c>
      <c r="M86" s="131">
        <v>490929.23450999998</v>
      </c>
      <c r="N86" s="154">
        <v>440435.74289999995</v>
      </c>
      <c r="O86" s="154">
        <v>456955</v>
      </c>
      <c r="P86" s="295">
        <f>SUM(P80:P85)</f>
        <v>472403</v>
      </c>
      <c r="Q86" s="154">
        <f t="shared" ref="Q86" si="15">SUM(Q80:Q85)</f>
        <v>423049</v>
      </c>
      <c r="R86" s="154">
        <v>438397</v>
      </c>
      <c r="S86" s="154">
        <v>404734.45753999997</v>
      </c>
      <c r="T86" s="154">
        <f t="shared" ref="T86" si="16">SUM(T80:T85)</f>
        <v>420081.19397999998</v>
      </c>
      <c r="V86" s="126" t="s">
        <v>102</v>
      </c>
      <c r="W86" s="154">
        <v>417786.05871000001</v>
      </c>
      <c r="X86" s="154">
        <f>+[32]EEFF_TE_Per!X86</f>
        <v>435864.95429999998</v>
      </c>
    </row>
    <row r="87" spans="1:24" ht="15.5" thickBot="1">
      <c r="B87" s="141" t="s">
        <v>103</v>
      </c>
      <c r="C87" s="133">
        <v>1319737.9840326314</v>
      </c>
      <c r="D87" s="133">
        <v>1432530.7423199997</v>
      </c>
      <c r="E87" s="133">
        <v>1502815.58586</v>
      </c>
      <c r="F87" s="133">
        <v>1452407.6739899998</v>
      </c>
      <c r="G87" s="133">
        <v>1467536.77015</v>
      </c>
      <c r="H87" s="133">
        <v>1474473.41478</v>
      </c>
      <c r="I87" s="133">
        <v>1473079.1132399999</v>
      </c>
      <c r="J87" s="133">
        <v>1492996.5555600002</v>
      </c>
      <c r="K87" s="133">
        <v>1514574.4826899997</v>
      </c>
      <c r="L87" s="133">
        <v>1536323.9275199999</v>
      </c>
      <c r="M87" s="133">
        <v>1570209.3874900001</v>
      </c>
      <c r="N87" s="155">
        <v>1606894.4869599999</v>
      </c>
      <c r="O87" s="155">
        <v>1769814</v>
      </c>
      <c r="P87" s="296">
        <f>P77+P86</f>
        <v>1807805</v>
      </c>
      <c r="Q87" s="155">
        <f t="shared" ref="Q87" si="17">Q77+Q86</f>
        <v>1822565</v>
      </c>
      <c r="R87" s="155">
        <v>1814614</v>
      </c>
      <c r="S87" s="155">
        <v>1806872.9502900001</v>
      </c>
      <c r="T87" s="155">
        <f t="shared" ref="T87" si="18">T77+T86</f>
        <v>1822344.19398</v>
      </c>
      <c r="V87" s="141" t="s">
        <v>103</v>
      </c>
      <c r="W87" s="155">
        <v>1839023.3276200001</v>
      </c>
      <c r="X87" s="155">
        <f>+[32]EEFF_TE_Per!X87</f>
        <v>1815181.5352600003</v>
      </c>
    </row>
    <row r="88" spans="1:24" ht="15.5">
      <c r="B88" s="78"/>
      <c r="C88" s="160"/>
      <c r="D88" s="160"/>
      <c r="E88" s="160"/>
      <c r="F88" s="160"/>
      <c r="G88" s="160"/>
      <c r="H88" s="160"/>
      <c r="I88" s="160"/>
      <c r="J88" s="160"/>
      <c r="K88" s="160"/>
      <c r="L88" s="160"/>
      <c r="M88" s="160"/>
      <c r="N88" s="160"/>
      <c r="O88" s="160"/>
      <c r="P88" s="160"/>
      <c r="Q88" s="160"/>
      <c r="R88" s="160"/>
      <c r="S88" s="160"/>
    </row>
    <row r="89" spans="1:24" ht="15.5">
      <c r="B89" s="78"/>
      <c r="C89" s="116"/>
      <c r="D89" s="116"/>
      <c r="E89" s="116"/>
      <c r="F89" s="116"/>
      <c r="G89" s="116"/>
      <c r="H89" s="116"/>
      <c r="I89" s="116"/>
      <c r="J89" s="116"/>
      <c r="K89" s="116"/>
      <c r="L89" s="116"/>
      <c r="M89" s="116"/>
      <c r="N89" s="116"/>
      <c r="O89" s="116"/>
      <c r="P89" s="116"/>
      <c r="Q89" s="116"/>
      <c r="R89" s="116"/>
      <c r="S89" s="116"/>
    </row>
    <row r="90" spans="1:24" ht="15.5">
      <c r="B90" s="78"/>
      <c r="C90" s="78"/>
      <c r="D90" s="78"/>
      <c r="E90" s="78"/>
      <c r="F90" s="78"/>
      <c r="G90" s="78"/>
      <c r="H90" s="78"/>
      <c r="I90" s="78"/>
      <c r="J90" s="78"/>
      <c r="K90" s="78"/>
      <c r="L90" s="78"/>
      <c r="M90" s="78"/>
      <c r="N90" s="78"/>
      <c r="O90" s="78"/>
      <c r="P90" s="78"/>
      <c r="Q90" s="78"/>
      <c r="R90" s="78"/>
      <c r="S90" s="78"/>
    </row>
    <row r="91" spans="1:24" ht="15.5">
      <c r="A91" s="56" t="s">
        <v>104</v>
      </c>
      <c r="B91" s="12" t="s">
        <v>296</v>
      </c>
      <c r="C91" s="78"/>
      <c r="D91" s="78"/>
      <c r="E91" s="78"/>
      <c r="F91" s="78"/>
      <c r="G91" s="78"/>
      <c r="H91" s="78"/>
      <c r="I91" s="78"/>
      <c r="J91" s="78"/>
      <c r="K91" s="78"/>
      <c r="L91" s="78"/>
      <c r="M91" s="78"/>
      <c r="N91" s="78"/>
      <c r="O91" s="78"/>
      <c r="P91" s="78"/>
      <c r="Q91" s="78"/>
      <c r="R91" s="78"/>
      <c r="S91" s="78"/>
    </row>
    <row r="92" spans="1:24" ht="15.5">
      <c r="B92" s="14" t="s">
        <v>277</v>
      </c>
      <c r="C92" s="78"/>
      <c r="D92" s="78"/>
      <c r="E92" s="78"/>
      <c r="F92" s="78"/>
      <c r="G92" s="78"/>
      <c r="H92" s="122"/>
      <c r="I92" s="122"/>
      <c r="J92" s="122"/>
      <c r="K92" s="78"/>
      <c r="L92" s="122"/>
      <c r="M92" s="78"/>
      <c r="N92" s="78"/>
      <c r="O92" s="78"/>
      <c r="P92" s="78"/>
      <c r="Q92" s="78"/>
      <c r="R92" s="78"/>
      <c r="S92" s="78"/>
    </row>
    <row r="93" spans="1:24" ht="15.5">
      <c r="B93" s="78"/>
      <c r="C93" s="78"/>
      <c r="D93" s="78"/>
      <c r="E93" s="122"/>
      <c r="F93" s="122"/>
      <c r="G93" s="122"/>
      <c r="H93" s="122"/>
      <c r="I93" s="78"/>
      <c r="J93" s="78"/>
      <c r="K93" s="78"/>
      <c r="L93" s="122"/>
      <c r="M93" s="78"/>
      <c r="N93" s="78"/>
      <c r="O93" s="78"/>
      <c r="P93" s="78"/>
      <c r="Q93" s="78"/>
      <c r="R93" s="78"/>
      <c r="S93" s="78"/>
    </row>
    <row r="94" spans="1:24" ht="15">
      <c r="B94" s="282"/>
      <c r="C94" s="283">
        <v>2016</v>
      </c>
      <c r="D94" s="283">
        <v>2017</v>
      </c>
      <c r="E94" s="283" t="s">
        <v>19</v>
      </c>
      <c r="F94" s="283" t="s">
        <v>20</v>
      </c>
      <c r="G94" s="283" t="s">
        <v>21</v>
      </c>
      <c r="H94" s="283" t="s">
        <v>22</v>
      </c>
      <c r="I94" s="283" t="s">
        <v>23</v>
      </c>
      <c r="J94" s="283" t="s">
        <v>24</v>
      </c>
      <c r="K94" s="283" t="s">
        <v>25</v>
      </c>
      <c r="L94" s="283" t="s">
        <v>26</v>
      </c>
      <c r="M94" s="283" t="s">
        <v>27</v>
      </c>
      <c r="N94" s="283" t="s">
        <v>28</v>
      </c>
      <c r="O94" s="283" t="s">
        <v>29</v>
      </c>
      <c r="P94" s="284" t="s">
        <v>722</v>
      </c>
      <c r="Q94" s="283" t="s">
        <v>739</v>
      </c>
      <c r="R94" s="283" t="s">
        <v>912</v>
      </c>
      <c r="S94" s="283" t="s">
        <v>1051</v>
      </c>
      <c r="T94" s="283" t="s">
        <v>1089</v>
      </c>
      <c r="W94" s="283" t="s">
        <v>1109</v>
      </c>
      <c r="X94" s="283" t="s">
        <v>1190</v>
      </c>
    </row>
    <row r="95" spans="1:24" ht="15.5">
      <c r="B95" s="150"/>
      <c r="C95" s="35"/>
      <c r="D95" s="35"/>
      <c r="E95" s="35"/>
      <c r="F95" s="35"/>
      <c r="G95" s="35"/>
      <c r="H95" s="35"/>
      <c r="I95" s="35"/>
      <c r="J95" s="35"/>
      <c r="K95" s="35"/>
      <c r="L95" s="35"/>
      <c r="M95" s="35"/>
      <c r="N95" s="35"/>
      <c r="O95" s="35"/>
      <c r="P95" s="285"/>
      <c r="Q95" s="167"/>
      <c r="R95" s="167"/>
      <c r="S95" s="167"/>
    </row>
    <row r="96" spans="1:24" ht="15.5">
      <c r="B96" s="83" t="s">
        <v>30</v>
      </c>
      <c r="C96" s="118">
        <v>30837</v>
      </c>
      <c r="D96" s="118">
        <v>18651</v>
      </c>
      <c r="E96" s="118">
        <v>681</v>
      </c>
      <c r="F96" s="118">
        <v>847</v>
      </c>
      <c r="G96" s="118">
        <v>985</v>
      </c>
      <c r="H96" s="118">
        <v>10662</v>
      </c>
      <c r="I96" s="118">
        <v>3583</v>
      </c>
      <c r="J96" s="118">
        <v>1753</v>
      </c>
      <c r="K96" s="118">
        <v>287</v>
      </c>
      <c r="L96" s="118">
        <v>1795</v>
      </c>
      <c r="M96" s="118">
        <v>3646</v>
      </c>
      <c r="N96" s="118">
        <v>4418</v>
      </c>
      <c r="O96" s="118">
        <v>11173</v>
      </c>
      <c r="P96" s="286">
        <v>1779</v>
      </c>
      <c r="Q96" s="169">
        <v>1264</v>
      </c>
      <c r="R96" s="169">
        <v>1363</v>
      </c>
      <c r="S96" s="169">
        <v>-0.12613000000010288</v>
      </c>
      <c r="T96" s="169">
        <v>266</v>
      </c>
      <c r="V96" s="83" t="s">
        <v>30</v>
      </c>
      <c r="W96" s="169">
        <v>0</v>
      </c>
      <c r="X96" s="169">
        <f>+[32]EEFF_TE_Per!X96</f>
        <v>24.52835</v>
      </c>
    </row>
    <row r="97" spans="2:24" ht="15.5">
      <c r="B97" s="83" t="s">
        <v>31</v>
      </c>
      <c r="C97" s="118">
        <v>30808</v>
      </c>
      <c r="D97" s="118">
        <v>18251</v>
      </c>
      <c r="E97" s="118">
        <v>504</v>
      </c>
      <c r="F97" s="118">
        <v>943</v>
      </c>
      <c r="G97" s="118">
        <v>949</v>
      </c>
      <c r="H97" s="118">
        <v>11129</v>
      </c>
      <c r="I97" s="118">
        <v>3593</v>
      </c>
      <c r="J97" s="118">
        <v>1742</v>
      </c>
      <c r="K97" s="118">
        <v>284</v>
      </c>
      <c r="L97" s="118">
        <v>1800</v>
      </c>
      <c r="M97" s="118">
        <v>3646</v>
      </c>
      <c r="N97" s="118">
        <v>4418</v>
      </c>
      <c r="O97" s="118">
        <v>11173</v>
      </c>
      <c r="P97" s="286">
        <v>1831</v>
      </c>
      <c r="Q97" s="169">
        <v>1270</v>
      </c>
      <c r="R97" s="169">
        <v>1432</v>
      </c>
      <c r="S97" s="169">
        <v>137.73720999999978</v>
      </c>
      <c r="T97" s="169">
        <v>48</v>
      </c>
      <c r="V97" s="83" t="s">
        <v>31</v>
      </c>
      <c r="W97" s="169">
        <v>0</v>
      </c>
      <c r="X97" s="169">
        <f>+[32]EEFF_TE_Per!X97</f>
        <v>22.298500000000001</v>
      </c>
    </row>
    <row r="98" spans="2:24" ht="15.5">
      <c r="B98" s="142" t="s">
        <v>32</v>
      </c>
      <c r="C98" s="151">
        <f t="shared" ref="C98:Q98" si="19">+C96-C97</f>
        <v>29</v>
      </c>
      <c r="D98" s="151">
        <f t="shared" si="19"/>
        <v>400</v>
      </c>
      <c r="E98" s="151">
        <f t="shared" si="19"/>
        <v>177</v>
      </c>
      <c r="F98" s="151">
        <f t="shared" si="19"/>
        <v>-96</v>
      </c>
      <c r="G98" s="151">
        <f t="shared" si="19"/>
        <v>36</v>
      </c>
      <c r="H98" s="151">
        <f t="shared" si="19"/>
        <v>-467</v>
      </c>
      <c r="I98" s="151">
        <f t="shared" si="19"/>
        <v>-10</v>
      </c>
      <c r="J98" s="151">
        <f t="shared" si="19"/>
        <v>11</v>
      </c>
      <c r="K98" s="151">
        <f t="shared" si="19"/>
        <v>3</v>
      </c>
      <c r="L98" s="151">
        <f t="shared" si="19"/>
        <v>-5</v>
      </c>
      <c r="M98" s="151">
        <f t="shared" si="19"/>
        <v>0</v>
      </c>
      <c r="N98" s="151">
        <f t="shared" si="19"/>
        <v>0</v>
      </c>
      <c r="O98" s="151">
        <v>0</v>
      </c>
      <c r="P98" s="287">
        <f t="shared" si="19"/>
        <v>-52</v>
      </c>
      <c r="Q98" s="171">
        <f t="shared" si="19"/>
        <v>-6</v>
      </c>
      <c r="R98" s="171">
        <v>-69</v>
      </c>
      <c r="S98" s="171">
        <v>-137.86333999999988</v>
      </c>
      <c r="T98" s="171">
        <f t="shared" ref="T98" si="20">+T96-T97</f>
        <v>218</v>
      </c>
      <c r="V98" s="142" t="s">
        <v>1110</v>
      </c>
      <c r="W98" s="171">
        <v>0</v>
      </c>
      <c r="X98" s="171">
        <f>+[32]EEFF_TE_Per!X98</f>
        <v>2.229849999999999</v>
      </c>
    </row>
    <row r="99" spans="2:24" ht="15.5">
      <c r="B99" s="150"/>
      <c r="C99" s="9"/>
      <c r="D99" s="9"/>
      <c r="E99" s="9"/>
      <c r="F99" s="9"/>
      <c r="G99" s="9"/>
      <c r="H99" s="9"/>
      <c r="I99" s="9"/>
      <c r="J99" s="9"/>
      <c r="K99" s="9"/>
      <c r="L99" s="9"/>
      <c r="M99" s="9"/>
      <c r="N99" s="9"/>
      <c r="O99" s="9"/>
      <c r="P99" s="285"/>
      <c r="Q99" s="167"/>
      <c r="R99" s="167"/>
      <c r="S99" s="167"/>
      <c r="T99" s="167"/>
      <c r="V99" s="150"/>
      <c r="W99" s="167"/>
      <c r="X99" s="167">
        <f>+[32]EEFF_TE_Per!X99</f>
        <v>0</v>
      </c>
    </row>
    <row r="100" spans="2:24" ht="15.5">
      <c r="B100" s="83" t="s">
        <v>297</v>
      </c>
      <c r="C100" s="118">
        <v>116591</v>
      </c>
      <c r="D100" s="118">
        <v>128337</v>
      </c>
      <c r="E100" s="118">
        <v>33702</v>
      </c>
      <c r="F100" s="118">
        <v>35790</v>
      </c>
      <c r="G100" s="118">
        <v>35784</v>
      </c>
      <c r="H100" s="118">
        <v>38494</v>
      </c>
      <c r="I100" s="118">
        <v>36262</v>
      </c>
      <c r="J100" s="118">
        <v>37670</v>
      </c>
      <c r="K100" s="118">
        <v>38176</v>
      </c>
      <c r="L100" s="118">
        <v>37354</v>
      </c>
      <c r="M100" s="118">
        <v>35845</v>
      </c>
      <c r="N100" s="118">
        <v>38423</v>
      </c>
      <c r="O100" s="118">
        <v>37404</v>
      </c>
      <c r="P100" s="286">
        <v>37287</v>
      </c>
      <c r="Q100" s="169">
        <v>38038</v>
      </c>
      <c r="R100" s="169">
        <v>38028</v>
      </c>
      <c r="S100" s="169">
        <v>38268.883549999999</v>
      </c>
      <c r="T100" s="169">
        <v>37991</v>
      </c>
      <c r="V100" s="83" t="s">
        <v>107</v>
      </c>
      <c r="W100" s="169">
        <v>38313.712049999995</v>
      </c>
      <c r="X100" s="169">
        <f>+[32]EEFF_TE_Per!X100</f>
        <v>39437.627040000014</v>
      </c>
    </row>
    <row r="101" spans="2:24" ht="15.5">
      <c r="B101" s="83" t="s">
        <v>298</v>
      </c>
      <c r="C101" s="118">
        <v>20342</v>
      </c>
      <c r="D101" s="118">
        <v>16295</v>
      </c>
      <c r="E101" s="118">
        <v>4469</v>
      </c>
      <c r="F101" s="118">
        <v>3864</v>
      </c>
      <c r="G101" s="118">
        <v>4195</v>
      </c>
      <c r="H101" s="118">
        <v>9449</v>
      </c>
      <c r="I101" s="118">
        <v>4704</v>
      </c>
      <c r="J101" s="118">
        <v>5108</v>
      </c>
      <c r="K101" s="118">
        <v>4686</v>
      </c>
      <c r="L101" s="118">
        <v>4629</v>
      </c>
      <c r="M101" s="118">
        <v>4859</v>
      </c>
      <c r="N101" s="118">
        <v>4684</v>
      </c>
      <c r="O101" s="118">
        <v>4392</v>
      </c>
      <c r="P101" s="286">
        <v>4767</v>
      </c>
      <c r="Q101" s="169">
        <v>4764</v>
      </c>
      <c r="R101" s="169">
        <v>3902</v>
      </c>
      <c r="S101" s="169">
        <v>5903.5095799999999</v>
      </c>
      <c r="T101" s="169">
        <v>5006</v>
      </c>
      <c r="V101" s="83" t="s">
        <v>278</v>
      </c>
      <c r="W101" s="169">
        <v>6159.57474</v>
      </c>
      <c r="X101" s="169">
        <f>+[32]EEFF_TE_Per!X101</f>
        <v>5173.4542700000002</v>
      </c>
    </row>
    <row r="102" spans="2:24" ht="15.5">
      <c r="B102" s="83" t="s">
        <v>299</v>
      </c>
      <c r="C102" s="118">
        <v>0</v>
      </c>
      <c r="D102" s="118">
        <v>0</v>
      </c>
      <c r="E102" s="118">
        <v>0</v>
      </c>
      <c r="F102" s="118">
        <v>0</v>
      </c>
      <c r="G102" s="118">
        <v>0</v>
      </c>
      <c r="H102" s="118">
        <v>0</v>
      </c>
      <c r="I102" s="118">
        <v>0</v>
      </c>
      <c r="J102" s="118">
        <v>0</v>
      </c>
      <c r="K102" s="118">
        <v>0</v>
      </c>
      <c r="L102" s="118">
        <v>0</v>
      </c>
      <c r="M102" s="118">
        <v>0</v>
      </c>
      <c r="N102" s="118">
        <v>0</v>
      </c>
      <c r="O102" s="118">
        <v>0</v>
      </c>
      <c r="P102" s="286">
        <v>110</v>
      </c>
      <c r="Q102" s="169">
        <v>0</v>
      </c>
      <c r="R102" s="169">
        <v>0</v>
      </c>
      <c r="S102" s="169">
        <v>0</v>
      </c>
      <c r="T102" s="169">
        <v>0</v>
      </c>
      <c r="V102" s="83" t="s">
        <v>39</v>
      </c>
      <c r="W102" s="169">
        <v>78.27758</v>
      </c>
      <c r="X102" s="169">
        <f>+[32]EEFF_TE_Per!X102</f>
        <v>68.703999999999979</v>
      </c>
    </row>
    <row r="103" spans="2:24" ht="15.5">
      <c r="B103" s="83" t="s">
        <v>40</v>
      </c>
      <c r="C103" s="118">
        <v>44261</v>
      </c>
      <c r="D103" s="118">
        <f>41857+2222</f>
        <v>44079</v>
      </c>
      <c r="E103" s="118">
        <v>11359</v>
      </c>
      <c r="F103" s="118">
        <v>11199</v>
      </c>
      <c r="G103" s="118">
        <v>11646</v>
      </c>
      <c r="H103" s="161">
        <v>12170</v>
      </c>
      <c r="I103" s="118">
        <v>11111</v>
      </c>
      <c r="J103" s="118">
        <v>11834</v>
      </c>
      <c r="K103" s="118">
        <v>10933</v>
      </c>
      <c r="L103" s="118">
        <v>9452</v>
      </c>
      <c r="M103" s="118">
        <v>10188</v>
      </c>
      <c r="N103" s="118">
        <v>10939</v>
      </c>
      <c r="O103" s="118">
        <v>11062</v>
      </c>
      <c r="P103" s="286">
        <v>13809</v>
      </c>
      <c r="Q103" s="169">
        <v>10193</v>
      </c>
      <c r="R103" s="169">
        <v>11154</v>
      </c>
      <c r="S103" s="169">
        <v>12699.638699999996</v>
      </c>
      <c r="T103" s="169">
        <v>14495</v>
      </c>
      <c r="V103" s="83" t="s">
        <v>40</v>
      </c>
      <c r="W103" s="169">
        <v>11742.731930000002</v>
      </c>
      <c r="X103" s="169">
        <f>+[32]EEFF_TE_Per!X103</f>
        <v>12583.656399999996</v>
      </c>
    </row>
    <row r="104" spans="2:24" ht="15.5">
      <c r="B104" s="142" t="s">
        <v>41</v>
      </c>
      <c r="C104" s="151">
        <f t="shared" ref="C104:P104" si="21">+SUM(C100:C102)-C103</f>
        <v>92672</v>
      </c>
      <c r="D104" s="151">
        <f t="shared" si="21"/>
        <v>100553</v>
      </c>
      <c r="E104" s="151">
        <f t="shared" si="21"/>
        <v>26812</v>
      </c>
      <c r="F104" s="151">
        <f t="shared" si="21"/>
        <v>28455</v>
      </c>
      <c r="G104" s="151">
        <f t="shared" si="21"/>
        <v>28333</v>
      </c>
      <c r="H104" s="151">
        <f t="shared" si="21"/>
        <v>35773</v>
      </c>
      <c r="I104" s="151">
        <f t="shared" si="21"/>
        <v>29855</v>
      </c>
      <c r="J104" s="151">
        <f t="shared" si="21"/>
        <v>30944</v>
      </c>
      <c r="K104" s="151">
        <f t="shared" si="21"/>
        <v>31929</v>
      </c>
      <c r="L104" s="151">
        <f t="shared" si="21"/>
        <v>32531</v>
      </c>
      <c r="M104" s="151">
        <f t="shared" si="21"/>
        <v>30516</v>
      </c>
      <c r="N104" s="151">
        <f t="shared" si="21"/>
        <v>32168</v>
      </c>
      <c r="O104" s="151">
        <v>30734</v>
      </c>
      <c r="P104" s="287">
        <f t="shared" si="21"/>
        <v>28355</v>
      </c>
      <c r="Q104" s="171">
        <f t="shared" ref="Q104" si="22">+SUM(Q100:Q102)-Q103</f>
        <v>32609</v>
      </c>
      <c r="R104" s="171">
        <v>30776</v>
      </c>
      <c r="S104" s="171">
        <v>31472.754430000001</v>
      </c>
      <c r="T104" s="171">
        <f t="shared" ref="T104" si="23">+SUM(T100:T102)-T103</f>
        <v>28502</v>
      </c>
      <c r="V104" s="142" t="s">
        <v>43</v>
      </c>
      <c r="W104" s="171">
        <v>9041.4740300000012</v>
      </c>
      <c r="X104" s="171">
        <f>+[32]EEFF_TE_Per!X104</f>
        <v>9179.2916799999985</v>
      </c>
    </row>
    <row r="105" spans="2:24" ht="15.5">
      <c r="B105" s="85" t="s">
        <v>111</v>
      </c>
      <c r="C105" s="119">
        <f>+C98+C104</f>
        <v>92701</v>
      </c>
      <c r="D105" s="119">
        <f t="shared" ref="D105:Q105" si="24">+D98+D104</f>
        <v>100953</v>
      </c>
      <c r="E105" s="119">
        <f t="shared" si="24"/>
        <v>26989</v>
      </c>
      <c r="F105" s="119">
        <f t="shared" si="24"/>
        <v>28359</v>
      </c>
      <c r="G105" s="119">
        <f t="shared" si="24"/>
        <v>28369</v>
      </c>
      <c r="H105" s="119">
        <f t="shared" si="24"/>
        <v>35306</v>
      </c>
      <c r="I105" s="119">
        <f t="shared" si="24"/>
        <v>29845</v>
      </c>
      <c r="J105" s="119">
        <f t="shared" si="24"/>
        <v>30955</v>
      </c>
      <c r="K105" s="119">
        <f t="shared" si="24"/>
        <v>31932</v>
      </c>
      <c r="L105" s="119">
        <f t="shared" si="24"/>
        <v>32526</v>
      </c>
      <c r="M105" s="119">
        <f t="shared" si="24"/>
        <v>30516</v>
      </c>
      <c r="N105" s="119">
        <f t="shared" si="24"/>
        <v>32168</v>
      </c>
      <c r="O105" s="119">
        <v>30734</v>
      </c>
      <c r="P105" s="288">
        <f t="shared" si="24"/>
        <v>28303</v>
      </c>
      <c r="Q105" s="173">
        <f t="shared" si="24"/>
        <v>32603</v>
      </c>
      <c r="R105" s="173">
        <v>30707</v>
      </c>
      <c r="S105" s="173">
        <v>31334.891090000001</v>
      </c>
      <c r="T105" s="173">
        <f t="shared" ref="T105" si="25">+T98+T104</f>
        <v>28720</v>
      </c>
      <c r="V105" s="85" t="s">
        <v>1111</v>
      </c>
      <c r="W105" s="173">
        <v>23767.358409999997</v>
      </c>
      <c r="X105" s="173">
        <f>+[32]EEFF_TE_Per!X105</f>
        <v>22919.067080000019</v>
      </c>
    </row>
    <row r="106" spans="2:24" ht="15.5">
      <c r="B106" s="82"/>
      <c r="C106" s="9"/>
      <c r="D106" s="9"/>
      <c r="E106" s="9"/>
      <c r="F106" s="9"/>
      <c r="G106" s="9"/>
      <c r="H106" s="9"/>
      <c r="I106" s="9"/>
      <c r="J106" s="9"/>
      <c r="K106" s="9"/>
      <c r="L106" s="9"/>
      <c r="M106" s="9"/>
      <c r="N106" s="9"/>
      <c r="O106" s="9"/>
      <c r="P106" s="285"/>
      <c r="Q106" s="167"/>
      <c r="R106" s="167"/>
      <c r="S106" s="167"/>
      <c r="T106" s="167"/>
      <c r="V106" s="82"/>
      <c r="W106" s="167"/>
      <c r="X106" s="167">
        <f>+[32]EEFF_TE_Per!X106</f>
        <v>0</v>
      </c>
    </row>
    <row r="107" spans="2:24" ht="15.5">
      <c r="B107" s="83" t="s">
        <v>43</v>
      </c>
      <c r="C107" s="162">
        <v>39467</v>
      </c>
      <c r="D107" s="162">
        <v>42909</v>
      </c>
      <c r="E107" s="162">
        <v>10593</v>
      </c>
      <c r="F107" s="162">
        <v>10578</v>
      </c>
      <c r="G107" s="162">
        <v>10546</v>
      </c>
      <c r="H107" s="162">
        <v>10617</v>
      </c>
      <c r="I107" s="162">
        <v>10571</v>
      </c>
      <c r="J107" s="162">
        <v>10974</v>
      </c>
      <c r="K107" s="162">
        <v>10897</v>
      </c>
      <c r="L107" s="162">
        <v>-8660</v>
      </c>
      <c r="M107" s="162">
        <v>10418</v>
      </c>
      <c r="N107" s="162">
        <v>10487</v>
      </c>
      <c r="O107" s="162">
        <v>10439</v>
      </c>
      <c r="P107" s="301">
        <v>11202</v>
      </c>
      <c r="Q107" s="369">
        <v>10463</v>
      </c>
      <c r="R107" s="369">
        <v>10533</v>
      </c>
      <c r="S107" s="369">
        <v>10518.46731</v>
      </c>
      <c r="T107" s="369">
        <v>9731</v>
      </c>
      <c r="V107" s="83"/>
      <c r="W107" s="369"/>
      <c r="X107" s="369">
        <f>+[32]EEFF_TE_Per!X107</f>
        <v>0</v>
      </c>
    </row>
    <row r="108" spans="2:24" ht="15.5">
      <c r="B108" s="83" t="s">
        <v>44</v>
      </c>
      <c r="C108" s="118">
        <v>0</v>
      </c>
      <c r="D108" s="118">
        <v>0</v>
      </c>
      <c r="E108" s="118">
        <v>0</v>
      </c>
      <c r="F108" s="118">
        <v>0</v>
      </c>
      <c r="G108" s="118">
        <v>0</v>
      </c>
      <c r="H108" s="118">
        <v>0</v>
      </c>
      <c r="I108" s="118">
        <v>0</v>
      </c>
      <c r="J108" s="118">
        <v>0</v>
      </c>
      <c r="K108" s="118">
        <v>0</v>
      </c>
      <c r="L108" s="118">
        <v>0</v>
      </c>
      <c r="M108" s="118">
        <v>0</v>
      </c>
      <c r="N108" s="118">
        <v>0</v>
      </c>
      <c r="O108" s="118">
        <v>0</v>
      </c>
      <c r="P108" s="286">
        <v>0</v>
      </c>
      <c r="Q108" s="169">
        <v>0</v>
      </c>
      <c r="R108" s="169">
        <v>0</v>
      </c>
      <c r="S108" s="169">
        <v>0</v>
      </c>
      <c r="T108" s="169">
        <v>0</v>
      </c>
      <c r="V108" s="83" t="s">
        <v>44</v>
      </c>
      <c r="W108" s="169"/>
      <c r="X108" s="169">
        <f>+[32]EEFF_TE_Per!X108</f>
        <v>0</v>
      </c>
    </row>
    <row r="109" spans="2:24" ht="15.5">
      <c r="B109" s="83" t="s">
        <v>45</v>
      </c>
      <c r="C109" s="118">
        <v>1312</v>
      </c>
      <c r="D109" s="118">
        <v>2222</v>
      </c>
      <c r="E109" s="118">
        <v>358</v>
      </c>
      <c r="F109" s="118">
        <v>192</v>
      </c>
      <c r="G109" s="118">
        <v>575</v>
      </c>
      <c r="H109" s="118">
        <f>1609-E109-F109-G109</f>
        <v>484</v>
      </c>
      <c r="I109" s="118">
        <v>-218</v>
      </c>
      <c r="J109" s="118">
        <v>-84</v>
      </c>
      <c r="K109" s="118">
        <v>-267</v>
      </c>
      <c r="L109" s="118">
        <v>-130</v>
      </c>
      <c r="M109" s="118">
        <f>-ROUND(161225.72/1000,0)</f>
        <v>-161</v>
      </c>
      <c r="N109" s="118">
        <f>-ROUND(110194.07/1000,0)</f>
        <v>-110</v>
      </c>
      <c r="O109" s="118">
        <v>271</v>
      </c>
      <c r="P109" s="286">
        <v>0</v>
      </c>
      <c r="Q109" s="169">
        <v>709</v>
      </c>
      <c r="R109" s="169">
        <v>-309</v>
      </c>
      <c r="S109" s="169">
        <v>123.70071000000007</v>
      </c>
      <c r="T109" s="169">
        <v>3530</v>
      </c>
      <c r="V109" s="83" t="s">
        <v>45</v>
      </c>
      <c r="W109" s="169">
        <v>-3.92821</v>
      </c>
      <c r="X109" s="169">
        <f>+[32]EEFF_TE_Per!X109</f>
        <v>-59.429249999999996</v>
      </c>
    </row>
    <row r="110" spans="2:24" ht="15.5">
      <c r="B110" s="85" t="s">
        <v>46</v>
      </c>
      <c r="C110" s="119">
        <f>+C105-C107+C108+C109</f>
        <v>54546</v>
      </c>
      <c r="D110" s="119">
        <f t="shared" ref="D110:Q110" si="26">+D105-D107+D108+D109</f>
        <v>60266</v>
      </c>
      <c r="E110" s="119">
        <f t="shared" si="26"/>
        <v>16754</v>
      </c>
      <c r="F110" s="119">
        <f t="shared" si="26"/>
        <v>17973</v>
      </c>
      <c r="G110" s="119">
        <f t="shared" si="26"/>
        <v>18398</v>
      </c>
      <c r="H110" s="119">
        <f t="shared" si="26"/>
        <v>25173</v>
      </c>
      <c r="I110" s="119">
        <f t="shared" si="26"/>
        <v>19056</v>
      </c>
      <c r="J110" s="119">
        <f t="shared" si="26"/>
        <v>19897</v>
      </c>
      <c r="K110" s="119">
        <f t="shared" si="26"/>
        <v>20768</v>
      </c>
      <c r="L110" s="119">
        <f t="shared" si="26"/>
        <v>41056</v>
      </c>
      <c r="M110" s="119">
        <f t="shared" si="26"/>
        <v>19937</v>
      </c>
      <c r="N110" s="119">
        <f t="shared" si="26"/>
        <v>21571</v>
      </c>
      <c r="O110" s="119">
        <v>20566</v>
      </c>
      <c r="P110" s="288">
        <f t="shared" si="26"/>
        <v>17101</v>
      </c>
      <c r="Q110" s="173">
        <f t="shared" si="26"/>
        <v>22849</v>
      </c>
      <c r="R110" s="173">
        <v>19865</v>
      </c>
      <c r="S110" s="173">
        <v>20940.124490000002</v>
      </c>
      <c r="T110" s="173">
        <f t="shared" ref="T110" si="27">+T105-T107+T108+T109</f>
        <v>22519</v>
      </c>
      <c r="V110" s="85" t="s">
        <v>46</v>
      </c>
      <c r="W110" s="173">
        <v>23763.430199999999</v>
      </c>
      <c r="X110" s="173">
        <f>+[32]EEFF_TE_Per!X110</f>
        <v>22859.637830000018</v>
      </c>
    </row>
    <row r="111" spans="2:24" ht="15.5">
      <c r="B111" s="83"/>
      <c r="C111" s="118"/>
      <c r="D111" s="118"/>
      <c r="E111" s="118"/>
      <c r="F111" s="118"/>
      <c r="G111" s="118"/>
      <c r="H111" s="118"/>
      <c r="I111" s="118"/>
      <c r="J111" s="118"/>
      <c r="K111" s="118"/>
      <c r="L111" s="118"/>
      <c r="M111" s="118"/>
      <c r="N111" s="118"/>
      <c r="O111" s="118"/>
      <c r="P111" s="286"/>
      <c r="Q111" s="169"/>
      <c r="R111" s="169"/>
      <c r="S111" s="169">
        <v>0</v>
      </c>
      <c r="T111" s="169"/>
      <c r="V111" s="83"/>
      <c r="W111" s="169"/>
      <c r="X111" s="169">
        <f>+[32]EEFF_TE_Per!X111</f>
        <v>0</v>
      </c>
    </row>
    <row r="112" spans="2:24" ht="15.5">
      <c r="B112" s="83" t="s">
        <v>47</v>
      </c>
      <c r="C112" s="118">
        <v>-14091</v>
      </c>
      <c r="D112" s="118">
        <v>-11195</v>
      </c>
      <c r="E112" s="118">
        <v>-3430</v>
      </c>
      <c r="F112" s="118">
        <v>-2930</v>
      </c>
      <c r="G112" s="118">
        <v>-3295</v>
      </c>
      <c r="H112" s="118">
        <v>-3146</v>
      </c>
      <c r="I112" s="118">
        <v>-2574</v>
      </c>
      <c r="J112" s="118">
        <v>-3014</v>
      </c>
      <c r="K112" s="118">
        <v>-3347</v>
      </c>
      <c r="L112" s="118">
        <f>-10438-I112-J112-K112</f>
        <v>-1503</v>
      </c>
      <c r="M112" s="118">
        <v>-3889</v>
      </c>
      <c r="N112" s="118">
        <v>-4279</v>
      </c>
      <c r="O112" s="118">
        <v>-3844</v>
      </c>
      <c r="P112" s="286">
        <v>-2344</v>
      </c>
      <c r="Q112" s="169">
        <v>-4427</v>
      </c>
      <c r="R112" s="169">
        <v>-3797</v>
      </c>
      <c r="S112" s="169">
        <v>-1278.6547699999992</v>
      </c>
      <c r="T112" s="169">
        <v>-2140</v>
      </c>
      <c r="V112" s="83" t="s">
        <v>47</v>
      </c>
      <c r="W112" s="169">
        <v>-2944.6895299999996</v>
      </c>
      <c r="X112" s="169">
        <f>+[32]EEFF_TE_Per!X112</f>
        <v>-1782.7179900000001</v>
      </c>
    </row>
    <row r="113" spans="1:24" ht="15.5">
      <c r="B113" s="85" t="s">
        <v>48</v>
      </c>
      <c r="C113" s="120">
        <f>+C110+C112</f>
        <v>40455</v>
      </c>
      <c r="D113" s="120">
        <f t="shared" ref="D113:Q113" si="28">+D110+D112</f>
        <v>49071</v>
      </c>
      <c r="E113" s="120">
        <f t="shared" si="28"/>
        <v>13324</v>
      </c>
      <c r="F113" s="120">
        <f t="shared" si="28"/>
        <v>15043</v>
      </c>
      <c r="G113" s="120">
        <f t="shared" si="28"/>
        <v>15103</v>
      </c>
      <c r="H113" s="120">
        <f t="shared" si="28"/>
        <v>22027</v>
      </c>
      <c r="I113" s="120">
        <f t="shared" si="28"/>
        <v>16482</v>
      </c>
      <c r="J113" s="120">
        <f t="shared" si="28"/>
        <v>16883</v>
      </c>
      <c r="K113" s="120">
        <f t="shared" si="28"/>
        <v>17421</v>
      </c>
      <c r="L113" s="120">
        <f t="shared" si="28"/>
        <v>39553</v>
      </c>
      <c r="M113" s="120">
        <f t="shared" si="28"/>
        <v>16048</v>
      </c>
      <c r="N113" s="120">
        <f t="shared" si="28"/>
        <v>17292</v>
      </c>
      <c r="O113" s="120">
        <v>16722</v>
      </c>
      <c r="P113" s="289">
        <f t="shared" si="28"/>
        <v>14757</v>
      </c>
      <c r="Q113" s="365">
        <f t="shared" si="28"/>
        <v>18422</v>
      </c>
      <c r="R113" s="365">
        <v>16068</v>
      </c>
      <c r="S113" s="365">
        <v>19661.469720000001</v>
      </c>
      <c r="T113" s="365">
        <f t="shared" ref="T113" si="29">+T110+T112</f>
        <v>20379</v>
      </c>
      <c r="V113" s="85" t="s">
        <v>48</v>
      </c>
      <c r="W113" s="365">
        <v>20818.740669999999</v>
      </c>
      <c r="X113" s="365">
        <f>+[32]EEFF_TE_Per!X113</f>
        <v>21076.919840000017</v>
      </c>
    </row>
    <row r="114" spans="1:24" ht="15.5">
      <c r="B114" s="82"/>
      <c r="C114" s="9"/>
      <c r="D114" s="9"/>
      <c r="E114" s="9"/>
      <c r="F114" s="9"/>
      <c r="G114" s="9"/>
      <c r="H114" s="9"/>
      <c r="I114" s="163"/>
      <c r="J114" s="163"/>
      <c r="K114" s="9"/>
      <c r="L114" s="9"/>
      <c r="M114" s="9"/>
      <c r="N114" s="9"/>
      <c r="O114" s="9"/>
      <c r="P114" s="285"/>
      <c r="Q114" s="167"/>
      <c r="R114" s="167"/>
      <c r="S114" s="167"/>
      <c r="T114" s="167"/>
      <c r="V114" s="82"/>
      <c r="W114" s="167"/>
      <c r="X114" s="167">
        <f>+[32]EEFF_TE_Per!X114</f>
        <v>0</v>
      </c>
    </row>
    <row r="115" spans="1:24" ht="15.5">
      <c r="B115" s="83" t="s">
        <v>49</v>
      </c>
      <c r="C115" s="118">
        <v>10419</v>
      </c>
      <c r="D115" s="118">
        <v>18827</v>
      </c>
      <c r="E115" s="118">
        <v>3617</v>
      </c>
      <c r="F115" s="118">
        <v>4519</v>
      </c>
      <c r="G115" s="118">
        <v>4188</v>
      </c>
      <c r="H115" s="118">
        <v>6136</v>
      </c>
      <c r="I115" s="118">
        <v>4530</v>
      </c>
      <c r="J115" s="118">
        <v>5066</v>
      </c>
      <c r="K115" s="118">
        <v>4601</v>
      </c>
      <c r="L115" s="118">
        <v>11208</v>
      </c>
      <c r="M115" s="118">
        <v>4337</v>
      </c>
      <c r="N115" s="118">
        <v>4700</v>
      </c>
      <c r="O115" s="118">
        <v>4539</v>
      </c>
      <c r="P115" s="286">
        <v>5036</v>
      </c>
      <c r="Q115" s="169">
        <v>5099</v>
      </c>
      <c r="R115" s="169">
        <v>3987</v>
      </c>
      <c r="S115" s="169">
        <v>5343.7957800000004</v>
      </c>
      <c r="T115" s="169">
        <v>5936</v>
      </c>
      <c r="V115" s="83" t="s">
        <v>49</v>
      </c>
      <c r="W115" s="169">
        <v>5686.0379599999997</v>
      </c>
      <c r="X115" s="169">
        <f>+[32]EEFF_TE_Per!X115</f>
        <v>6132.5513199999996</v>
      </c>
    </row>
    <row r="116" spans="1:24" ht="15.5">
      <c r="B116" s="85" t="s">
        <v>52</v>
      </c>
      <c r="C116" s="120">
        <f>+C113-C115</f>
        <v>30036</v>
      </c>
      <c r="D116" s="120">
        <f t="shared" ref="D116:Q116" si="30">+D113-D115</f>
        <v>30244</v>
      </c>
      <c r="E116" s="120">
        <f t="shared" si="30"/>
        <v>9707</v>
      </c>
      <c r="F116" s="120">
        <f t="shared" si="30"/>
        <v>10524</v>
      </c>
      <c r="G116" s="120">
        <f t="shared" si="30"/>
        <v>10915</v>
      </c>
      <c r="H116" s="120">
        <f t="shared" si="30"/>
        <v>15891</v>
      </c>
      <c r="I116" s="120">
        <f t="shared" si="30"/>
        <v>11952</v>
      </c>
      <c r="J116" s="120">
        <f t="shared" si="30"/>
        <v>11817</v>
      </c>
      <c r="K116" s="120">
        <f t="shared" si="30"/>
        <v>12820</v>
      </c>
      <c r="L116" s="120">
        <f t="shared" si="30"/>
        <v>28345</v>
      </c>
      <c r="M116" s="120">
        <f t="shared" si="30"/>
        <v>11711</v>
      </c>
      <c r="N116" s="120">
        <f t="shared" si="30"/>
        <v>12592</v>
      </c>
      <c r="O116" s="120">
        <v>12183</v>
      </c>
      <c r="P116" s="289">
        <f t="shared" si="30"/>
        <v>9721</v>
      </c>
      <c r="Q116" s="365">
        <f t="shared" si="30"/>
        <v>13323</v>
      </c>
      <c r="R116" s="365">
        <v>12081</v>
      </c>
      <c r="S116" s="365">
        <v>14317.673940000001</v>
      </c>
      <c r="T116" s="365">
        <f t="shared" ref="T116" si="31">+T113-T115</f>
        <v>14443</v>
      </c>
      <c r="V116" s="85" t="s">
        <v>52</v>
      </c>
      <c r="W116" s="365">
        <v>15132.70271</v>
      </c>
      <c r="X116" s="365">
        <f>+[32]EEFF_TE_Per!X116</f>
        <v>14944.368520000018</v>
      </c>
    </row>
    <row r="117" spans="1:24" ht="15.5">
      <c r="B117" s="164"/>
      <c r="C117" s="78"/>
      <c r="D117" s="78"/>
      <c r="E117" s="78"/>
      <c r="F117" s="78"/>
      <c r="G117" s="78"/>
      <c r="H117" s="78"/>
      <c r="I117" s="78"/>
      <c r="J117" s="78"/>
      <c r="K117" s="78"/>
      <c r="L117" s="78"/>
      <c r="M117" s="78"/>
      <c r="N117" s="78"/>
      <c r="O117" s="78"/>
      <c r="P117" s="78"/>
      <c r="Q117" s="78"/>
      <c r="R117" s="78"/>
      <c r="S117" s="78"/>
      <c r="X117" s="46">
        <f>+[32]EEFF_TE_Per!X117</f>
        <v>0</v>
      </c>
    </row>
    <row r="118" spans="1:24" ht="15.5">
      <c r="B118" s="164"/>
      <c r="C118" s="78"/>
      <c r="D118" s="78"/>
      <c r="E118" s="78"/>
      <c r="F118" s="78"/>
      <c r="G118" s="78"/>
      <c r="H118" s="78"/>
      <c r="I118" s="78"/>
      <c r="J118" s="78"/>
      <c r="K118" s="78"/>
      <c r="L118" s="78"/>
      <c r="M118" s="78"/>
      <c r="N118" s="78"/>
      <c r="O118" s="78"/>
      <c r="P118" s="78"/>
      <c r="Q118" s="78"/>
      <c r="R118" s="78"/>
      <c r="S118" s="78"/>
      <c r="X118" s="46">
        <f>+[32]EEFF_TE_Per!X118</f>
        <v>0</v>
      </c>
    </row>
    <row r="119" spans="1:24" ht="15.5">
      <c r="A119" s="56" t="s">
        <v>104</v>
      </c>
      <c r="B119" s="12" t="s">
        <v>300</v>
      </c>
      <c r="C119" s="33"/>
      <c r="D119" s="33"/>
      <c r="E119" s="34"/>
      <c r="F119" s="78"/>
      <c r="G119" s="33"/>
      <c r="H119" s="33"/>
      <c r="I119" s="34"/>
      <c r="J119" s="33"/>
      <c r="K119" s="33"/>
      <c r="L119" s="33"/>
      <c r="M119" s="34"/>
      <c r="N119" s="33"/>
      <c r="O119" s="33"/>
      <c r="P119" s="291"/>
      <c r="Q119" s="33"/>
      <c r="R119" s="33"/>
      <c r="S119" s="33"/>
      <c r="V119" s="85" t="s">
        <v>1104</v>
      </c>
      <c r="W119" s="365">
        <v>32372.803</v>
      </c>
      <c r="X119" s="365">
        <f>+[32]EEFF_TE_Per!X119</f>
        <v>32098.358760000017</v>
      </c>
    </row>
    <row r="120" spans="1:24" ht="15.5">
      <c r="B120" s="302" t="s">
        <v>18</v>
      </c>
      <c r="C120" s="143"/>
      <c r="D120" s="143"/>
      <c r="E120" s="143"/>
      <c r="F120" s="143"/>
      <c r="G120" s="143"/>
      <c r="H120" s="143"/>
      <c r="I120" s="143"/>
      <c r="J120" s="143"/>
      <c r="K120" s="143"/>
      <c r="L120" s="143"/>
      <c r="M120" s="143"/>
      <c r="N120" s="143"/>
      <c r="O120" s="143"/>
      <c r="P120" s="290"/>
      <c r="Q120" s="143"/>
      <c r="R120" s="143"/>
      <c r="S120" s="143"/>
    </row>
    <row r="121" spans="1:24" ht="15.5" thickBot="1">
      <c r="B121" s="282"/>
      <c r="C121" s="283">
        <v>2016</v>
      </c>
      <c r="D121" s="283">
        <v>2017</v>
      </c>
      <c r="E121" s="283" t="s">
        <v>19</v>
      </c>
      <c r="F121" s="283" t="s">
        <v>20</v>
      </c>
      <c r="G121" s="283" t="s">
        <v>21</v>
      </c>
      <c r="H121" s="283" t="s">
        <v>22</v>
      </c>
      <c r="I121" s="283" t="s">
        <v>23</v>
      </c>
      <c r="J121" s="283" t="s">
        <v>24</v>
      </c>
      <c r="K121" s="283" t="s">
        <v>25</v>
      </c>
      <c r="L121" s="283" t="s">
        <v>26</v>
      </c>
      <c r="M121" s="283" t="s">
        <v>27</v>
      </c>
      <c r="N121" s="283" t="s">
        <v>28</v>
      </c>
      <c r="O121" s="283" t="s">
        <v>29</v>
      </c>
      <c r="P121" s="284" t="s">
        <v>722</v>
      </c>
      <c r="Q121" s="283" t="s">
        <v>739</v>
      </c>
      <c r="R121" s="283" t="s">
        <v>912</v>
      </c>
      <c r="S121" s="283" t="s">
        <v>1051</v>
      </c>
      <c r="T121" s="283" t="s">
        <v>1089</v>
      </c>
      <c r="V121" s="282"/>
      <c r="W121" s="283" t="s">
        <v>1109</v>
      </c>
      <c r="X121" s="283"/>
    </row>
    <row r="122" spans="1:24" ht="15.5" thickBot="1">
      <c r="B122" s="124" t="s">
        <v>55</v>
      </c>
      <c r="C122" s="125"/>
      <c r="D122" s="125"/>
      <c r="E122" s="125"/>
      <c r="F122" s="125"/>
      <c r="G122" s="125"/>
      <c r="H122" s="125"/>
      <c r="I122" s="125"/>
      <c r="J122" s="125"/>
      <c r="K122" s="125"/>
      <c r="L122" s="125"/>
      <c r="M122" s="125"/>
      <c r="N122" s="125"/>
      <c r="O122" s="125"/>
      <c r="P122" s="292"/>
      <c r="Q122" s="125"/>
      <c r="R122" s="125"/>
      <c r="S122" s="125"/>
      <c r="T122" s="125"/>
      <c r="V122" s="124" t="s">
        <v>55</v>
      </c>
      <c r="W122" s="125"/>
      <c r="X122" s="125"/>
    </row>
    <row r="123" spans="1:24" ht="15.5" thickBot="1">
      <c r="B123" s="126" t="s">
        <v>56</v>
      </c>
      <c r="C123" s="127"/>
      <c r="D123" s="127"/>
      <c r="E123" s="127"/>
      <c r="F123" s="127"/>
      <c r="G123" s="127"/>
      <c r="H123" s="127"/>
      <c r="I123" s="127"/>
      <c r="J123" s="127"/>
      <c r="K123" s="127"/>
      <c r="L123" s="127"/>
      <c r="M123" s="127"/>
      <c r="N123" s="152"/>
      <c r="O123" s="152"/>
      <c r="P123" s="293"/>
      <c r="Q123" s="152"/>
      <c r="R123" s="152"/>
      <c r="S123" s="152"/>
      <c r="T123" s="152"/>
      <c r="V123" s="126" t="s">
        <v>56</v>
      </c>
      <c r="W123" s="152"/>
      <c r="X123" s="152"/>
    </row>
    <row r="124" spans="1:24" ht="15.5">
      <c r="B124" s="83" t="s">
        <v>57</v>
      </c>
      <c r="C124" s="118">
        <v>12954</v>
      </c>
      <c r="D124" s="118">
        <v>16516</v>
      </c>
      <c r="E124" s="118">
        <v>50094</v>
      </c>
      <c r="F124" s="118">
        <v>15029</v>
      </c>
      <c r="G124" s="118">
        <v>20655</v>
      </c>
      <c r="H124" s="118">
        <v>15110</v>
      </c>
      <c r="I124" s="118">
        <v>26636</v>
      </c>
      <c r="J124" s="118">
        <v>5281</v>
      </c>
      <c r="K124" s="118">
        <v>2631</v>
      </c>
      <c r="L124" s="118">
        <v>18809</v>
      </c>
      <c r="M124" s="118">
        <v>83848</v>
      </c>
      <c r="N124" s="118">
        <v>34398</v>
      </c>
      <c r="O124" s="118">
        <v>5725</v>
      </c>
      <c r="P124" s="286">
        <v>12617</v>
      </c>
      <c r="Q124" s="169">
        <v>8426</v>
      </c>
      <c r="R124" s="169">
        <v>62289</v>
      </c>
      <c r="S124" s="169">
        <v>30918.867879999998</v>
      </c>
      <c r="T124" s="169">
        <v>28106</v>
      </c>
      <c r="V124" s="83" t="s">
        <v>57</v>
      </c>
      <c r="W124" s="169">
        <v>38836.307540000002</v>
      </c>
      <c r="X124" s="169">
        <f>+[32]EEFF_TE_Per!X124</f>
        <v>13263.868710000001</v>
      </c>
    </row>
    <row r="125" spans="1:24" ht="15.5">
      <c r="B125" s="83" t="s">
        <v>280</v>
      </c>
      <c r="C125" s="118">
        <v>17931</v>
      </c>
      <c r="D125" s="118">
        <v>17804</v>
      </c>
      <c r="E125" s="118">
        <v>19522</v>
      </c>
      <c r="F125" s="118">
        <v>20736</v>
      </c>
      <c r="G125" s="118">
        <v>20980</v>
      </c>
      <c r="H125" s="118">
        <v>27724</v>
      </c>
      <c r="I125" s="118">
        <v>26728</v>
      </c>
      <c r="J125" s="118">
        <v>26095</v>
      </c>
      <c r="K125" s="118">
        <v>24761</v>
      </c>
      <c r="L125" s="118">
        <v>23202</v>
      </c>
      <c r="M125" s="118">
        <v>19902</v>
      </c>
      <c r="N125" s="118">
        <v>19622</v>
      </c>
      <c r="O125" s="118">
        <v>20037</v>
      </c>
      <c r="P125" s="286">
        <v>19787</v>
      </c>
      <c r="Q125" s="169">
        <v>20524</v>
      </c>
      <c r="R125" s="169">
        <v>22466</v>
      </c>
      <c r="S125" s="169">
        <v>24814.016370000001</v>
      </c>
      <c r="T125" s="169">
        <v>28729</v>
      </c>
      <c r="V125" s="83" t="s">
        <v>280</v>
      </c>
      <c r="W125" s="169">
        <v>29429.054090000001</v>
      </c>
      <c r="X125" s="169">
        <f>+[32]EEFF_TE_Per!X125</f>
        <v>30997.886039999998</v>
      </c>
    </row>
    <row r="126" spans="1:24" ht="15.5">
      <c r="B126" s="83" t="s">
        <v>301</v>
      </c>
      <c r="C126" s="118">
        <v>769</v>
      </c>
      <c r="D126" s="118">
        <v>1477</v>
      </c>
      <c r="E126" s="118">
        <v>1270</v>
      </c>
      <c r="F126" s="118">
        <v>931</v>
      </c>
      <c r="G126" s="118">
        <v>468</v>
      </c>
      <c r="H126" s="118">
        <v>970</v>
      </c>
      <c r="I126" s="118">
        <v>709</v>
      </c>
      <c r="J126" s="118">
        <v>1948</v>
      </c>
      <c r="K126" s="118">
        <v>1181</v>
      </c>
      <c r="L126" s="118">
        <v>1259</v>
      </c>
      <c r="M126" s="118">
        <v>1568</v>
      </c>
      <c r="N126" s="118">
        <v>1159</v>
      </c>
      <c r="O126" s="118">
        <v>1634</v>
      </c>
      <c r="P126" s="286">
        <v>854</v>
      </c>
      <c r="Q126" s="169">
        <v>1610</v>
      </c>
      <c r="R126" s="169">
        <v>321</v>
      </c>
      <c r="S126" s="169">
        <v>27114.561559999998</v>
      </c>
      <c r="T126" s="169">
        <v>1587</v>
      </c>
      <c r="V126" s="83" t="s">
        <v>301</v>
      </c>
      <c r="W126" s="169">
        <v>3314.3289500000001</v>
      </c>
      <c r="X126" s="169">
        <f>+[32]EEFF_TE_Per!X126</f>
        <v>3069.3365800000001</v>
      </c>
    </row>
    <row r="127" spans="1:24" ht="15.5">
      <c r="B127" s="83" t="s">
        <v>281</v>
      </c>
      <c r="C127" s="118">
        <v>4662</v>
      </c>
      <c r="D127" s="118">
        <v>2715</v>
      </c>
      <c r="E127" s="118">
        <v>3596</v>
      </c>
      <c r="F127" s="118">
        <v>4652</v>
      </c>
      <c r="G127" s="118">
        <v>4096</v>
      </c>
      <c r="H127" s="118">
        <v>2324</v>
      </c>
      <c r="I127" s="118">
        <v>1930</v>
      </c>
      <c r="J127" s="118">
        <v>1643</v>
      </c>
      <c r="K127" s="118">
        <v>3589</v>
      </c>
      <c r="L127" s="118">
        <v>5044</v>
      </c>
      <c r="M127" s="118">
        <v>4869</v>
      </c>
      <c r="N127" s="118">
        <v>4108</v>
      </c>
      <c r="O127" s="118">
        <v>2740</v>
      </c>
      <c r="P127" s="286">
        <v>3745</v>
      </c>
      <c r="Q127" s="169">
        <v>4692</v>
      </c>
      <c r="R127" s="169">
        <v>4297</v>
      </c>
      <c r="S127" s="169">
        <v>3716.4677700000002</v>
      </c>
      <c r="T127" s="169">
        <v>2744</v>
      </c>
      <c r="V127" s="83" t="s">
        <v>281</v>
      </c>
      <c r="W127" s="169">
        <v>3999.0017000000003</v>
      </c>
      <c r="X127" s="169">
        <f>+[32]EEFF_TE_Per!X127</f>
        <v>4194.2550199999996</v>
      </c>
    </row>
    <row r="128" spans="1:24" ht="15.5">
      <c r="B128" s="83" t="s">
        <v>302</v>
      </c>
      <c r="C128" s="118">
        <v>10198</v>
      </c>
      <c r="D128" s="118">
        <v>9221</v>
      </c>
      <c r="E128" s="118">
        <v>9241</v>
      </c>
      <c r="F128" s="118">
        <v>10129</v>
      </c>
      <c r="G128" s="118">
        <v>10316</v>
      </c>
      <c r="H128" s="118">
        <v>10836</v>
      </c>
      <c r="I128" s="118">
        <v>9527</v>
      </c>
      <c r="J128" s="118">
        <v>9316</v>
      </c>
      <c r="K128" s="118">
        <v>9487</v>
      </c>
      <c r="L128" s="118">
        <v>11562</v>
      </c>
      <c r="M128" s="118">
        <v>11626</v>
      </c>
      <c r="N128" s="118">
        <v>11004</v>
      </c>
      <c r="O128" s="118">
        <v>11001</v>
      </c>
      <c r="P128" s="286">
        <v>10698</v>
      </c>
      <c r="Q128" s="169">
        <v>10022</v>
      </c>
      <c r="R128" s="169">
        <v>9822</v>
      </c>
      <c r="S128" s="169">
        <v>9920.62284</v>
      </c>
      <c r="T128" s="169">
        <v>11510</v>
      </c>
      <c r="V128" s="83" t="s">
        <v>302</v>
      </c>
      <c r="W128" s="169">
        <v>10272.08905</v>
      </c>
      <c r="X128" s="169">
        <f>+[32]EEFF_TE_Per!X128</f>
        <v>10143.133260000001</v>
      </c>
    </row>
    <row r="129" spans="2:24" ht="15.5">
      <c r="B129" s="83" t="s">
        <v>122</v>
      </c>
      <c r="C129" s="118">
        <v>0</v>
      </c>
      <c r="D129" s="118">
        <v>0</v>
      </c>
      <c r="E129" s="118">
        <v>0</v>
      </c>
      <c r="F129" s="118">
        <v>0</v>
      </c>
      <c r="G129" s="118">
        <v>0</v>
      </c>
      <c r="H129" s="118">
        <v>0</v>
      </c>
      <c r="I129" s="118">
        <v>0</v>
      </c>
      <c r="J129" s="118">
        <v>0</v>
      </c>
      <c r="K129" s="118">
        <v>0</v>
      </c>
      <c r="L129" s="118">
        <v>2900</v>
      </c>
      <c r="M129" s="118">
        <v>0</v>
      </c>
      <c r="N129" s="118">
        <v>0</v>
      </c>
      <c r="O129" s="118">
        <v>0</v>
      </c>
      <c r="P129" s="286">
        <v>8206</v>
      </c>
      <c r="Q129" s="169">
        <v>8516</v>
      </c>
      <c r="R129" s="169">
        <v>0</v>
      </c>
      <c r="S129" s="169">
        <v>0</v>
      </c>
      <c r="T129" s="169">
        <v>0</v>
      </c>
      <c r="V129" s="83" t="s">
        <v>122</v>
      </c>
      <c r="W129" s="169">
        <v>0</v>
      </c>
      <c r="X129" s="169">
        <f>+[32]EEFF_TE_Per!X129</f>
        <v>0</v>
      </c>
    </row>
    <row r="130" spans="2:24" ht="16" thickBot="1">
      <c r="B130" s="83" t="s">
        <v>303</v>
      </c>
      <c r="C130" s="118">
        <v>93</v>
      </c>
      <c r="D130" s="118">
        <v>858</v>
      </c>
      <c r="E130" s="118">
        <v>583</v>
      </c>
      <c r="F130" s="118">
        <v>402</v>
      </c>
      <c r="G130" s="118">
        <v>2367</v>
      </c>
      <c r="H130" s="118">
        <v>1814</v>
      </c>
      <c r="I130" s="118">
        <v>1506</v>
      </c>
      <c r="J130" s="118">
        <v>1027</v>
      </c>
      <c r="K130" s="118">
        <v>541</v>
      </c>
      <c r="L130" s="118">
        <v>114</v>
      </c>
      <c r="M130" s="118">
        <v>2205</v>
      </c>
      <c r="N130" s="118">
        <v>1585</v>
      </c>
      <c r="O130" s="118">
        <v>1450</v>
      </c>
      <c r="P130" s="286">
        <v>913</v>
      </c>
      <c r="Q130" s="169">
        <v>963</v>
      </c>
      <c r="R130" s="169">
        <v>580</v>
      </c>
      <c r="S130" s="169">
        <v>2286.8167200000003</v>
      </c>
      <c r="T130" s="169">
        <v>1833</v>
      </c>
      <c r="V130" s="83" t="s">
        <v>303</v>
      </c>
      <c r="W130" s="169">
        <v>1799.61448</v>
      </c>
      <c r="X130" s="169">
        <f>+[32]EEFF_TE_Per!X130</f>
        <v>969.98715000000004</v>
      </c>
    </row>
    <row r="131" spans="2:24" ht="15.5" thickBot="1">
      <c r="B131" s="129" t="s">
        <v>63</v>
      </c>
      <c r="C131" s="130">
        <v>46607</v>
      </c>
      <c r="D131" s="130">
        <v>48591</v>
      </c>
      <c r="E131" s="130">
        <v>84306</v>
      </c>
      <c r="F131" s="130">
        <v>51879</v>
      </c>
      <c r="G131" s="130">
        <v>58882</v>
      </c>
      <c r="H131" s="130">
        <v>58778</v>
      </c>
      <c r="I131" s="130">
        <v>67036</v>
      </c>
      <c r="J131" s="130">
        <v>45310</v>
      </c>
      <c r="K131" s="130">
        <v>42190</v>
      </c>
      <c r="L131" s="130">
        <v>62890</v>
      </c>
      <c r="M131" s="130">
        <v>124018</v>
      </c>
      <c r="N131" s="153">
        <v>71876</v>
      </c>
      <c r="O131" s="153">
        <v>42587</v>
      </c>
      <c r="P131" s="294">
        <f>SUM(P124:P130)</f>
        <v>56820</v>
      </c>
      <c r="Q131" s="153">
        <f>SUM(Q124:Q130)</f>
        <v>54753</v>
      </c>
      <c r="R131" s="153">
        <v>99775</v>
      </c>
      <c r="S131" s="153">
        <v>98771.353140000007</v>
      </c>
      <c r="T131" s="153">
        <f>SUM(T124:T130)</f>
        <v>74509</v>
      </c>
      <c r="V131" s="129" t="s">
        <v>63</v>
      </c>
      <c r="W131" s="153">
        <f>+SUM(W124:W130)</f>
        <v>87650.395809999987</v>
      </c>
      <c r="X131" s="153">
        <f>+[32]EEFF_TE_Per!X131</f>
        <v>62638.466760000003</v>
      </c>
    </row>
    <row r="132" spans="2:24" ht="15.5" thickBot="1">
      <c r="B132" s="126" t="s">
        <v>64</v>
      </c>
      <c r="C132" s="127"/>
      <c r="D132" s="127"/>
      <c r="E132" s="127"/>
      <c r="F132" s="127"/>
      <c r="G132" s="127"/>
      <c r="H132" s="127"/>
      <c r="I132" s="127"/>
      <c r="J132" s="127"/>
      <c r="K132" s="127"/>
      <c r="L132" s="127"/>
      <c r="M132" s="127"/>
      <c r="N132" s="152"/>
      <c r="O132" s="152"/>
      <c r="P132" s="293"/>
      <c r="Q132" s="152"/>
      <c r="R132" s="152"/>
      <c r="S132" s="152"/>
      <c r="T132" s="152"/>
      <c r="V132" s="126" t="s">
        <v>64</v>
      </c>
      <c r="W132" s="152"/>
      <c r="X132" s="152">
        <f>+[32]EEFF_TE_Per!X132</f>
        <v>0</v>
      </c>
    </row>
    <row r="133" spans="2:24" ht="15.5">
      <c r="B133" s="83" t="s">
        <v>304</v>
      </c>
      <c r="C133" s="118">
        <v>0</v>
      </c>
      <c r="D133" s="118">
        <v>486</v>
      </c>
      <c r="E133" s="118">
        <v>0</v>
      </c>
      <c r="F133" s="118">
        <v>0</v>
      </c>
      <c r="G133" s="118">
        <v>0</v>
      </c>
      <c r="H133" s="118">
        <v>0</v>
      </c>
      <c r="I133" s="118">
        <v>0</v>
      </c>
      <c r="J133" s="118">
        <v>0</v>
      </c>
      <c r="K133" s="118">
        <v>0</v>
      </c>
      <c r="L133" s="118">
        <v>0</v>
      </c>
      <c r="M133" s="118">
        <v>0</v>
      </c>
      <c r="N133" s="118">
        <v>0</v>
      </c>
      <c r="O133" s="118">
        <v>0</v>
      </c>
      <c r="P133" s="286">
        <v>0</v>
      </c>
      <c r="Q133" s="169">
        <v>0</v>
      </c>
      <c r="R133" s="169">
        <v>0</v>
      </c>
      <c r="S133" s="169">
        <v>0</v>
      </c>
      <c r="T133" s="169">
        <v>0</v>
      </c>
      <c r="V133" s="83" t="s">
        <v>304</v>
      </c>
      <c r="W133" s="169"/>
      <c r="X133" s="169">
        <f>+[32]EEFF_TE_Per!X133</f>
        <v>0</v>
      </c>
    </row>
    <row r="134" spans="2:24" ht="15.5">
      <c r="B134" s="83" t="s">
        <v>305</v>
      </c>
      <c r="C134" s="118">
        <v>1051</v>
      </c>
      <c r="D134" s="118">
        <v>965</v>
      </c>
      <c r="E134" s="118">
        <v>951</v>
      </c>
      <c r="F134" s="118">
        <v>920</v>
      </c>
      <c r="G134" s="118">
        <v>897</v>
      </c>
      <c r="H134" s="118">
        <v>875</v>
      </c>
      <c r="I134" s="118">
        <v>853</v>
      </c>
      <c r="J134" s="118">
        <v>831</v>
      </c>
      <c r="K134" s="118">
        <v>807</v>
      </c>
      <c r="L134" s="118">
        <v>784</v>
      </c>
      <c r="M134" s="118">
        <v>769</v>
      </c>
      <c r="N134" s="118">
        <v>738</v>
      </c>
      <c r="O134" s="118">
        <v>645</v>
      </c>
      <c r="P134" s="286">
        <v>1047</v>
      </c>
      <c r="Q134" s="169">
        <v>1025</v>
      </c>
      <c r="R134" s="169">
        <v>1003</v>
      </c>
      <c r="S134" s="169">
        <v>980.50080000000003</v>
      </c>
      <c r="T134" s="169">
        <v>958</v>
      </c>
      <c r="V134" s="83" t="s">
        <v>305</v>
      </c>
      <c r="W134" s="169">
        <v>925.56916000000001</v>
      </c>
      <c r="X134" s="169">
        <f>+[32]EEFF_TE_Per!X134</f>
        <v>900.14096999999992</v>
      </c>
    </row>
    <row r="135" spans="2:24" ht="15.5">
      <c r="B135" s="83" t="s">
        <v>306</v>
      </c>
      <c r="C135" s="118">
        <v>5087</v>
      </c>
      <c r="D135" s="118">
        <v>4950</v>
      </c>
      <c r="E135" s="118">
        <v>4942</v>
      </c>
      <c r="F135" s="118">
        <v>4907</v>
      </c>
      <c r="G135" s="118">
        <v>4873</v>
      </c>
      <c r="H135" s="118">
        <v>4859</v>
      </c>
      <c r="I135" s="118">
        <v>4829</v>
      </c>
      <c r="J135" s="118">
        <v>4797</v>
      </c>
      <c r="K135" s="118">
        <v>4762</v>
      </c>
      <c r="L135" s="118">
        <v>4714</v>
      </c>
      <c r="M135" s="118">
        <v>4692</v>
      </c>
      <c r="N135" s="118">
        <v>4643</v>
      </c>
      <c r="O135" s="118">
        <v>4600</v>
      </c>
      <c r="P135" s="286">
        <v>4558</v>
      </c>
      <c r="Q135" s="169">
        <v>4516</v>
      </c>
      <c r="R135" s="169">
        <v>4475</v>
      </c>
      <c r="S135" s="169">
        <v>4428.8829699999997</v>
      </c>
      <c r="T135" s="169">
        <v>4384</v>
      </c>
      <c r="V135" s="83" t="s">
        <v>306</v>
      </c>
      <c r="W135" s="169">
        <v>4344.2047999999995</v>
      </c>
      <c r="X135" s="169">
        <f>+[32]EEFF_TE_Per!X135</f>
        <v>4303.9515199999996</v>
      </c>
    </row>
    <row r="136" spans="2:24" ht="15.5">
      <c r="B136" s="83" t="s">
        <v>307</v>
      </c>
      <c r="C136" s="118">
        <v>13915</v>
      </c>
      <c r="D136" s="118">
        <v>11392</v>
      </c>
      <c r="E136" s="118">
        <v>10908</v>
      </c>
      <c r="F136" s="118">
        <v>10443</v>
      </c>
      <c r="G136" s="118">
        <v>10194</v>
      </c>
      <c r="H136" s="118">
        <v>10130</v>
      </c>
      <c r="I136" s="118">
        <v>9757</v>
      </c>
      <c r="J136" s="118">
        <v>9412</v>
      </c>
      <c r="K136" s="118">
        <v>8981</v>
      </c>
      <c r="L136" s="118">
        <v>8688</v>
      </c>
      <c r="M136" s="118">
        <v>8547</v>
      </c>
      <c r="N136" s="118">
        <v>8619</v>
      </c>
      <c r="O136" s="118">
        <v>7495</v>
      </c>
      <c r="P136" s="286">
        <v>9982</v>
      </c>
      <c r="Q136" s="169">
        <v>9604</v>
      </c>
      <c r="R136" s="169">
        <v>9308</v>
      </c>
      <c r="S136" s="169">
        <v>9047.8868900000052</v>
      </c>
      <c r="T136" s="169">
        <v>8908</v>
      </c>
      <c r="V136" s="83" t="s">
        <v>307</v>
      </c>
      <c r="W136" s="169">
        <v>8409.2963499999969</v>
      </c>
      <c r="X136" s="169">
        <f>+[32]EEFF_TE_Per!X136</f>
        <v>8185.9367600000014</v>
      </c>
    </row>
    <row r="137" spans="2:24" ht="15.5">
      <c r="B137" s="83" t="s">
        <v>308</v>
      </c>
      <c r="C137" s="118">
        <v>0</v>
      </c>
      <c r="D137" s="118">
        <v>0</v>
      </c>
      <c r="E137" s="118">
        <v>0</v>
      </c>
      <c r="F137" s="118">
        <v>0</v>
      </c>
      <c r="G137" s="118">
        <v>0</v>
      </c>
      <c r="H137" s="118">
        <v>0</v>
      </c>
      <c r="I137" s="118">
        <v>0</v>
      </c>
      <c r="J137" s="118">
        <v>0</v>
      </c>
      <c r="K137" s="118">
        <v>0</v>
      </c>
      <c r="L137" s="118">
        <v>8178</v>
      </c>
      <c r="M137" s="118">
        <v>8021</v>
      </c>
      <c r="N137" s="118">
        <v>7863</v>
      </c>
      <c r="O137" s="118">
        <v>8673</v>
      </c>
      <c r="P137" s="286">
        <v>7851</v>
      </c>
      <c r="Q137" s="169">
        <v>7658</v>
      </c>
      <c r="R137" s="169">
        <v>7464</v>
      </c>
      <c r="S137" s="169">
        <v>7270.5197200000002</v>
      </c>
      <c r="T137" s="169">
        <v>3624</v>
      </c>
      <c r="V137" s="83" t="s">
        <v>308</v>
      </c>
      <c r="W137" s="169">
        <v>3493.7066800000007</v>
      </c>
      <c r="X137" s="169">
        <f>+[32]EEFF_TE_Per!X137</f>
        <v>3362.9309600000006</v>
      </c>
    </row>
    <row r="138" spans="2:24" ht="15.5">
      <c r="B138" s="83" t="s">
        <v>309</v>
      </c>
      <c r="C138" s="118">
        <v>460058</v>
      </c>
      <c r="D138" s="118">
        <v>449579</v>
      </c>
      <c r="E138" s="118">
        <v>442321</v>
      </c>
      <c r="F138" s="118">
        <v>435023</v>
      </c>
      <c r="G138" s="118">
        <v>428216</v>
      </c>
      <c r="H138" s="118">
        <v>431266</v>
      </c>
      <c r="I138" s="118">
        <v>427302</v>
      </c>
      <c r="J138" s="118">
        <v>421072</v>
      </c>
      <c r="K138" s="118">
        <v>413561</v>
      </c>
      <c r="L138" s="118">
        <v>427337</v>
      </c>
      <c r="M138" s="118">
        <v>424263</v>
      </c>
      <c r="N138" s="118">
        <v>421959</v>
      </c>
      <c r="O138" s="118">
        <v>426470</v>
      </c>
      <c r="P138" s="286">
        <v>421755</v>
      </c>
      <c r="Q138" s="169">
        <v>416129</v>
      </c>
      <c r="R138" s="169">
        <v>410580</v>
      </c>
      <c r="S138" s="169">
        <v>403773.54605</v>
      </c>
      <c r="T138" s="169">
        <v>397232</v>
      </c>
      <c r="V138" s="83" t="s">
        <v>309</v>
      </c>
      <c r="W138" s="169">
        <v>390540.71172000002</v>
      </c>
      <c r="X138" s="169">
        <f>+[32]EEFF_TE_Per!X138</f>
        <v>383619.62688</v>
      </c>
    </row>
    <row r="139" spans="2:24" ht="15.5" thickBot="1">
      <c r="B139" s="126" t="s">
        <v>77</v>
      </c>
      <c r="C139" s="131">
        <v>480111</v>
      </c>
      <c r="D139" s="131">
        <v>467372</v>
      </c>
      <c r="E139" s="131">
        <v>459122</v>
      </c>
      <c r="F139" s="131">
        <v>451293</v>
      </c>
      <c r="G139" s="131">
        <v>444180</v>
      </c>
      <c r="H139" s="131">
        <v>447130</v>
      </c>
      <c r="I139" s="131">
        <v>442741</v>
      </c>
      <c r="J139" s="131">
        <v>436112</v>
      </c>
      <c r="K139" s="131">
        <v>428111</v>
      </c>
      <c r="L139" s="131">
        <v>449701</v>
      </c>
      <c r="M139" s="131">
        <v>446292</v>
      </c>
      <c r="N139" s="154">
        <v>443822</v>
      </c>
      <c r="O139" s="154">
        <v>447883</v>
      </c>
      <c r="P139" s="295">
        <f>SUM(P133:P138)</f>
        <v>445193</v>
      </c>
      <c r="Q139" s="154">
        <f t="shared" ref="Q139" si="32">SUM(Q133:Q138)</f>
        <v>438932</v>
      </c>
      <c r="R139" s="154">
        <v>432830</v>
      </c>
      <c r="S139" s="154">
        <v>425501.33643000002</v>
      </c>
      <c r="T139" s="154">
        <f t="shared" ref="T139" si="33">SUM(T133:T138)</f>
        <v>415106</v>
      </c>
      <c r="V139" s="126" t="s">
        <v>77</v>
      </c>
      <c r="W139" s="154">
        <f>+SUM(W134:W138)</f>
        <v>407713.48871000001</v>
      </c>
      <c r="X139" s="154">
        <f>+[32]EEFF_TE_Per!X139</f>
        <v>400372.58708999999</v>
      </c>
    </row>
    <row r="140" spans="2:24" ht="15.5" thickBot="1">
      <c r="B140" s="132" t="s">
        <v>78</v>
      </c>
      <c r="C140" s="133">
        <v>526718</v>
      </c>
      <c r="D140" s="133">
        <v>515963</v>
      </c>
      <c r="E140" s="133">
        <v>543428</v>
      </c>
      <c r="F140" s="133">
        <v>503172</v>
      </c>
      <c r="G140" s="133">
        <v>503062</v>
      </c>
      <c r="H140" s="133">
        <v>505908</v>
      </c>
      <c r="I140" s="133">
        <v>509777</v>
      </c>
      <c r="J140" s="133">
        <v>481422</v>
      </c>
      <c r="K140" s="133">
        <v>470301</v>
      </c>
      <c r="L140" s="133">
        <v>512591</v>
      </c>
      <c r="M140" s="133">
        <v>570310</v>
      </c>
      <c r="N140" s="155">
        <v>515698</v>
      </c>
      <c r="O140" s="155">
        <v>490470</v>
      </c>
      <c r="P140" s="296">
        <f>P131+P139</f>
        <v>502013</v>
      </c>
      <c r="Q140" s="155">
        <f t="shared" ref="Q140" si="34">Q131+Q139</f>
        <v>493685</v>
      </c>
      <c r="R140" s="155">
        <v>532605</v>
      </c>
      <c r="S140" s="155">
        <v>524272.68957000005</v>
      </c>
      <c r="T140" s="155">
        <f t="shared" ref="T140" si="35">T131+T139</f>
        <v>489615</v>
      </c>
      <c r="V140" s="132" t="s">
        <v>78</v>
      </c>
      <c r="W140" s="155">
        <f>+W131+W139</f>
        <v>495363.88451999996</v>
      </c>
      <c r="X140" s="155">
        <f>+[32]EEFF_TE_Per!X140</f>
        <v>463011.05384999997</v>
      </c>
    </row>
    <row r="141" spans="2:24" ht="15.5" thickBot="1">
      <c r="B141" s="134"/>
      <c r="C141" s="135"/>
      <c r="D141" s="135"/>
      <c r="E141" s="135"/>
      <c r="F141" s="135"/>
      <c r="G141" s="135"/>
      <c r="H141" s="135"/>
      <c r="I141" s="135"/>
      <c r="J141" s="135"/>
      <c r="K141" s="135"/>
      <c r="L141" s="135"/>
      <c r="M141" s="135"/>
      <c r="N141" s="156"/>
      <c r="O141" s="156"/>
      <c r="P141" s="297"/>
      <c r="Q141" s="156"/>
      <c r="R141" s="156"/>
      <c r="S141" s="156">
        <v>0</v>
      </c>
      <c r="V141" s="134"/>
    </row>
    <row r="142" spans="2:24" ht="15.5" thickBot="1">
      <c r="B142" s="124" t="s">
        <v>79</v>
      </c>
      <c r="C142" s="136"/>
      <c r="D142" s="136"/>
      <c r="E142" s="136"/>
      <c r="F142" s="136"/>
      <c r="G142" s="136"/>
      <c r="H142" s="136"/>
      <c r="I142" s="136"/>
      <c r="J142" s="136"/>
      <c r="K142" s="136"/>
      <c r="L142" s="136"/>
      <c r="M142" s="136"/>
      <c r="N142" s="157"/>
      <c r="O142" s="157"/>
      <c r="P142" s="298"/>
      <c r="Q142" s="157"/>
      <c r="R142" s="157"/>
      <c r="S142" s="157"/>
      <c r="T142" s="157"/>
      <c r="V142" s="124" t="s">
        <v>79</v>
      </c>
      <c r="W142" s="157"/>
      <c r="X142" s="157"/>
    </row>
    <row r="143" spans="2:24" ht="15.5" thickBot="1">
      <c r="B143" s="126" t="s">
        <v>80</v>
      </c>
      <c r="C143" s="137"/>
      <c r="D143" s="137"/>
      <c r="E143" s="137"/>
      <c r="F143" s="137"/>
      <c r="G143" s="137"/>
      <c r="H143" s="137"/>
      <c r="I143" s="137"/>
      <c r="J143" s="137"/>
      <c r="K143" s="137"/>
      <c r="L143" s="137"/>
      <c r="M143" s="137"/>
      <c r="N143" s="158"/>
      <c r="O143" s="158"/>
      <c r="P143" s="299"/>
      <c r="Q143" s="158"/>
      <c r="R143" s="158"/>
      <c r="S143" s="158"/>
      <c r="T143" s="158"/>
      <c r="V143" s="126" t="s">
        <v>80</v>
      </c>
      <c r="W143" s="158"/>
      <c r="X143" s="158"/>
    </row>
    <row r="144" spans="2:24" ht="15.5">
      <c r="B144" s="83" t="s">
        <v>286</v>
      </c>
      <c r="C144" s="118">
        <v>11450</v>
      </c>
      <c r="D144" s="118">
        <v>8714</v>
      </c>
      <c r="E144" s="118">
        <v>5921</v>
      </c>
      <c r="F144" s="118">
        <v>5349</v>
      </c>
      <c r="G144" s="118">
        <v>4755</v>
      </c>
      <c r="H144" s="118">
        <v>11309</v>
      </c>
      <c r="I144" s="118">
        <v>6822</v>
      </c>
      <c r="J144" s="118">
        <v>5120</v>
      </c>
      <c r="K144" s="118">
        <v>4322</v>
      </c>
      <c r="L144" s="118">
        <v>10451</v>
      </c>
      <c r="M144" s="118">
        <v>5498</v>
      </c>
      <c r="N144" s="118">
        <v>4317</v>
      </c>
      <c r="O144" s="118">
        <v>8840</v>
      </c>
      <c r="P144" s="286">
        <v>11085</v>
      </c>
      <c r="Q144" s="169">
        <v>5081</v>
      </c>
      <c r="R144" s="169">
        <v>5614</v>
      </c>
      <c r="S144" s="169">
        <v>7357.08979</v>
      </c>
      <c r="T144" s="169">
        <v>16320</v>
      </c>
      <c r="V144" s="83" t="s">
        <v>286</v>
      </c>
      <c r="W144" s="169">
        <v>9476.5604199999998</v>
      </c>
      <c r="X144" s="169">
        <f>+[32]EEFF_TE_Per!X144</f>
        <v>7943.1071500000007</v>
      </c>
    </row>
    <row r="145" spans="2:24" ht="15.5">
      <c r="B145" s="83" t="s">
        <v>310</v>
      </c>
      <c r="C145" s="118">
        <v>1777</v>
      </c>
      <c r="D145" s="118">
        <v>1424</v>
      </c>
      <c r="E145" s="118">
        <v>41547</v>
      </c>
      <c r="F145" s="118">
        <v>773</v>
      </c>
      <c r="G145" s="118">
        <v>1262</v>
      </c>
      <c r="H145" s="118">
        <v>1778</v>
      </c>
      <c r="I145" s="118">
        <v>61817</v>
      </c>
      <c r="J145" s="118">
        <v>1019</v>
      </c>
      <c r="K145" s="118">
        <v>1583</v>
      </c>
      <c r="L145" s="118">
        <v>2065</v>
      </c>
      <c r="M145" s="118">
        <v>1028</v>
      </c>
      <c r="N145" s="118">
        <v>1295</v>
      </c>
      <c r="O145" s="118">
        <v>1827</v>
      </c>
      <c r="P145" s="286">
        <v>2205</v>
      </c>
      <c r="Q145" s="169">
        <v>49069</v>
      </c>
      <c r="R145" s="169">
        <v>1050</v>
      </c>
      <c r="S145" s="169">
        <v>1699.0661599999999</v>
      </c>
      <c r="T145" s="169">
        <v>2142</v>
      </c>
      <c r="V145" s="83" t="s">
        <v>310</v>
      </c>
      <c r="W145" s="169">
        <v>29531.449420000001</v>
      </c>
      <c r="X145" s="169">
        <f>+[32]EEFF_TE_Per!X145</f>
        <v>1178.8877299999999</v>
      </c>
    </row>
    <row r="146" spans="2:24" ht="15.5">
      <c r="B146" s="83" t="s">
        <v>311</v>
      </c>
      <c r="C146" s="118">
        <v>1523</v>
      </c>
      <c r="D146" s="118">
        <v>3723</v>
      </c>
      <c r="E146" s="118">
        <v>2826</v>
      </c>
      <c r="F146" s="118">
        <v>3633</v>
      </c>
      <c r="G146" s="118">
        <v>5398</v>
      </c>
      <c r="H146" s="118">
        <v>7378</v>
      </c>
      <c r="I146" s="118">
        <v>5283</v>
      </c>
      <c r="J146" s="118">
        <v>2407</v>
      </c>
      <c r="K146" s="118">
        <v>2818</v>
      </c>
      <c r="L146" s="118">
        <v>3276</v>
      </c>
      <c r="M146" s="118">
        <v>1293</v>
      </c>
      <c r="N146" s="118">
        <v>2946</v>
      </c>
      <c r="O146" s="118">
        <v>1655</v>
      </c>
      <c r="P146" s="286">
        <v>3914</v>
      </c>
      <c r="Q146" s="169">
        <v>0</v>
      </c>
      <c r="R146" s="169">
        <v>5435</v>
      </c>
      <c r="S146" s="169">
        <v>7756.0475500000002</v>
      </c>
      <c r="T146" s="169">
        <v>5010</v>
      </c>
      <c r="V146" s="83" t="s">
        <v>311</v>
      </c>
      <c r="W146" s="169">
        <v>0</v>
      </c>
      <c r="X146" s="169">
        <f>+[32]EEFF_TE_Per!X146</f>
        <v>8032.6965899999996</v>
      </c>
    </row>
    <row r="147" spans="2:24" ht="15.5">
      <c r="B147" s="83" t="s">
        <v>287</v>
      </c>
      <c r="C147" s="118">
        <v>8344</v>
      </c>
      <c r="D147" s="118">
        <v>7385</v>
      </c>
      <c r="E147" s="118">
        <v>9019</v>
      </c>
      <c r="F147" s="118">
        <v>9011</v>
      </c>
      <c r="G147" s="118">
        <v>10392</v>
      </c>
      <c r="H147" s="118">
        <v>9223</v>
      </c>
      <c r="I147" s="118">
        <v>9244</v>
      </c>
      <c r="J147" s="118">
        <v>9188</v>
      </c>
      <c r="K147" s="118">
        <v>9847</v>
      </c>
      <c r="L147" s="118">
        <v>8502</v>
      </c>
      <c r="M147" s="118">
        <v>9283</v>
      </c>
      <c r="N147" s="118">
        <v>10035</v>
      </c>
      <c r="O147" s="118">
        <v>10974</v>
      </c>
      <c r="P147" s="286">
        <f>2875+6614</f>
        <v>9489</v>
      </c>
      <c r="Q147" s="169">
        <v>11526</v>
      </c>
      <c r="R147" s="169">
        <v>5447</v>
      </c>
      <c r="S147" s="169">
        <v>4936.0788000000011</v>
      </c>
      <c r="T147" s="169">
        <v>6509</v>
      </c>
      <c r="V147" s="83" t="s">
        <v>287</v>
      </c>
      <c r="W147" s="169">
        <v>10435.831190000001</v>
      </c>
      <c r="X147" s="169">
        <f>+[32]EEFF_TE_Per!X147</f>
        <v>4285.7681700000003</v>
      </c>
    </row>
    <row r="148" spans="2:24" ht="15.5">
      <c r="B148" s="83" t="s">
        <v>85</v>
      </c>
      <c r="C148" s="118">
        <v>10683</v>
      </c>
      <c r="D148" s="118">
        <v>13110</v>
      </c>
      <c r="E148" s="118">
        <v>13044</v>
      </c>
      <c r="F148" s="118">
        <v>13128</v>
      </c>
      <c r="G148" s="118">
        <v>12915</v>
      </c>
      <c r="H148" s="118">
        <v>15206</v>
      </c>
      <c r="I148" s="118">
        <v>15377</v>
      </c>
      <c r="J148" s="118">
        <v>15206</v>
      </c>
      <c r="K148" s="118">
        <v>14860</v>
      </c>
      <c r="L148" s="118">
        <v>16876</v>
      </c>
      <c r="M148" s="118">
        <v>16844</v>
      </c>
      <c r="N148" s="118">
        <v>16909</v>
      </c>
      <c r="O148" s="118">
        <v>16909</v>
      </c>
      <c r="P148" s="286">
        <v>16382</v>
      </c>
      <c r="Q148" s="169">
        <v>16377</v>
      </c>
      <c r="R148" s="169">
        <v>16375</v>
      </c>
      <c r="S148" s="169">
        <v>16356.30601</v>
      </c>
      <c r="T148" s="169">
        <v>13779</v>
      </c>
      <c r="V148" s="83" t="s">
        <v>85</v>
      </c>
      <c r="W148" s="169">
        <v>13816.145269999999</v>
      </c>
      <c r="X148" s="169">
        <f>+[32]EEFF_TE_Per!X148</f>
        <v>13857.986720000001</v>
      </c>
    </row>
    <row r="149" spans="2:24" ht="15.5">
      <c r="B149" s="83" t="s">
        <v>312</v>
      </c>
      <c r="C149" s="118">
        <v>45993</v>
      </c>
      <c r="D149" s="118">
        <v>75887</v>
      </c>
      <c r="E149" s="118">
        <v>45887</v>
      </c>
      <c r="F149" s="118">
        <v>45282</v>
      </c>
      <c r="G149" s="118">
        <v>72793</v>
      </c>
      <c r="H149" s="118">
        <v>72089</v>
      </c>
      <c r="I149" s="118">
        <v>71601</v>
      </c>
      <c r="J149" s="118">
        <v>71358</v>
      </c>
      <c r="K149" s="118">
        <v>3358</v>
      </c>
      <c r="L149" s="118">
        <v>3730</v>
      </c>
      <c r="M149" s="118">
        <v>58359</v>
      </c>
      <c r="N149" s="118">
        <v>58360</v>
      </c>
      <c r="O149" s="118">
        <v>18360</v>
      </c>
      <c r="P149" s="286">
        <v>19049</v>
      </c>
      <c r="Q149" s="169">
        <v>19156</v>
      </c>
      <c r="R149" s="169">
        <v>79568</v>
      </c>
      <c r="S149" s="169">
        <v>79895.863799999992</v>
      </c>
      <c r="T149" s="169">
        <v>78945</v>
      </c>
      <c r="V149" s="83" t="s">
        <v>312</v>
      </c>
      <c r="W149" s="169">
        <v>79331.638300000006</v>
      </c>
      <c r="X149" s="169">
        <f>+[32]EEFF_TE_Per!X149</f>
        <v>90742.288739999989</v>
      </c>
    </row>
    <row r="150" spans="2:24" ht="15.5" thickBot="1">
      <c r="B150" s="126" t="s">
        <v>88</v>
      </c>
      <c r="C150" s="131">
        <v>79770</v>
      </c>
      <c r="D150" s="131">
        <v>110243</v>
      </c>
      <c r="E150" s="131">
        <v>118244</v>
      </c>
      <c r="F150" s="131">
        <v>77176</v>
      </c>
      <c r="G150" s="131">
        <v>107515</v>
      </c>
      <c r="H150" s="131">
        <v>116983</v>
      </c>
      <c r="I150" s="131">
        <v>170144</v>
      </c>
      <c r="J150" s="131">
        <v>104298</v>
      </c>
      <c r="K150" s="131">
        <v>36788</v>
      </c>
      <c r="L150" s="131">
        <v>44900</v>
      </c>
      <c r="M150" s="131">
        <v>92305</v>
      </c>
      <c r="N150" s="154">
        <v>93862</v>
      </c>
      <c r="O150" s="154">
        <v>58565</v>
      </c>
      <c r="P150" s="295">
        <f>SUM(P144:P149)</f>
        <v>62124</v>
      </c>
      <c r="Q150" s="154">
        <f>SUM(Q144:Q149)</f>
        <v>101209</v>
      </c>
      <c r="R150" s="154">
        <v>113489</v>
      </c>
      <c r="S150" s="154">
        <v>118000.45210999998</v>
      </c>
      <c r="T150" s="154">
        <f>SUM(T144:T149)</f>
        <v>122705</v>
      </c>
      <c r="V150" s="126" t="s">
        <v>88</v>
      </c>
      <c r="W150" s="154">
        <f>+SUM(W144:W149)</f>
        <v>142591.62460000001</v>
      </c>
      <c r="X150" s="154">
        <f>+[32]EEFF_TE_Per!X150</f>
        <v>126040.73509999999</v>
      </c>
    </row>
    <row r="151" spans="2:24" ht="15.5" thickBot="1">
      <c r="B151" s="138" t="s">
        <v>89</v>
      </c>
      <c r="C151" s="139"/>
      <c r="D151" s="139"/>
      <c r="E151" s="139"/>
      <c r="F151" s="139"/>
      <c r="G151" s="139"/>
      <c r="H151" s="139"/>
      <c r="I151" s="139"/>
      <c r="J151" s="139"/>
      <c r="K151" s="139"/>
      <c r="L151" s="139"/>
      <c r="M151" s="139"/>
      <c r="N151" s="159"/>
      <c r="O151" s="159"/>
      <c r="P151" s="300"/>
      <c r="Q151" s="159"/>
      <c r="R151" s="159"/>
      <c r="S151" s="159"/>
      <c r="T151" s="159"/>
      <c r="V151" s="138" t="s">
        <v>89</v>
      </c>
      <c r="W151" s="159"/>
      <c r="X151" s="159"/>
    </row>
    <row r="152" spans="2:24" ht="15.5">
      <c r="B152" s="83" t="s">
        <v>313</v>
      </c>
      <c r="C152" s="118">
        <v>232</v>
      </c>
      <c r="D152" s="118">
        <v>105</v>
      </c>
      <c r="E152" s="118">
        <v>73</v>
      </c>
      <c r="F152" s="118">
        <v>32</v>
      </c>
      <c r="G152" s="118">
        <v>0</v>
      </c>
      <c r="H152" s="118">
        <v>0</v>
      </c>
      <c r="I152" s="118">
        <v>0</v>
      </c>
      <c r="J152" s="118">
        <v>0</v>
      </c>
      <c r="K152" s="118">
        <v>0</v>
      </c>
      <c r="L152" s="118">
        <v>0</v>
      </c>
      <c r="M152" s="118">
        <v>7983</v>
      </c>
      <c r="N152" s="118">
        <v>8139</v>
      </c>
      <c r="O152" s="118">
        <v>7998</v>
      </c>
      <c r="P152" s="286">
        <v>125</v>
      </c>
      <c r="Q152" s="169">
        <v>128</v>
      </c>
      <c r="R152" s="169">
        <v>277</v>
      </c>
      <c r="S152" s="169">
        <v>276.52782000000002</v>
      </c>
      <c r="T152" s="169">
        <v>1157</v>
      </c>
      <c r="V152" s="83" t="s">
        <v>313</v>
      </c>
      <c r="W152" s="169">
        <v>1157.4003300000002</v>
      </c>
      <c r="X152" s="169">
        <f>+[32]EEFF_TE_Per!X152</f>
        <v>1157.4003300000002</v>
      </c>
    </row>
    <row r="153" spans="2:24" ht="15.5">
      <c r="B153" s="83" t="s">
        <v>314</v>
      </c>
      <c r="C153" s="118">
        <v>29340</v>
      </c>
      <c r="D153" s="118">
        <v>30048</v>
      </c>
      <c r="E153" s="118">
        <v>32825</v>
      </c>
      <c r="F153" s="118">
        <v>35334</v>
      </c>
      <c r="G153" s="118">
        <v>36492</v>
      </c>
      <c r="H153" s="118">
        <v>28464</v>
      </c>
      <c r="I153" s="118">
        <v>29539</v>
      </c>
      <c r="J153" s="118">
        <v>30928</v>
      </c>
      <c r="K153" s="118">
        <v>32270</v>
      </c>
      <c r="L153" s="118">
        <v>23534</v>
      </c>
      <c r="M153" s="118">
        <v>25061</v>
      </c>
      <c r="N153" s="118">
        <v>27403</v>
      </c>
      <c r="O153" s="118">
        <v>27069</v>
      </c>
      <c r="P153" s="286">
        <v>24170</v>
      </c>
      <c r="Q153" s="169">
        <v>25530</v>
      </c>
      <c r="R153" s="169">
        <v>26586</v>
      </c>
      <c r="S153" s="169">
        <v>27125.491590000001</v>
      </c>
      <c r="T153" s="169">
        <v>24328</v>
      </c>
      <c r="V153" s="83" t="s">
        <v>314</v>
      </c>
      <c r="W153" s="169">
        <v>23895.689890000001</v>
      </c>
      <c r="X153" s="169">
        <f>+[32]EEFF_TE_Per!X153</f>
        <v>23215.410049999999</v>
      </c>
    </row>
    <row r="154" spans="2:24" ht="15.5">
      <c r="B154" s="83" t="s">
        <v>315</v>
      </c>
      <c r="C154" s="118">
        <v>178724</v>
      </c>
      <c r="D154" s="118">
        <v>144712</v>
      </c>
      <c r="E154" s="118">
        <v>192993</v>
      </c>
      <c r="F154" s="118">
        <v>181203</v>
      </c>
      <c r="G154" s="118">
        <v>139125</v>
      </c>
      <c r="H154" s="118">
        <v>138123</v>
      </c>
      <c r="I154" s="118">
        <v>137475</v>
      </c>
      <c r="J154" s="118">
        <v>162768</v>
      </c>
      <c r="K154" s="118">
        <v>205251</v>
      </c>
      <c r="L154" s="118">
        <v>213549</v>
      </c>
      <c r="M154" s="118">
        <v>202051</v>
      </c>
      <c r="N154" s="118">
        <v>200788</v>
      </c>
      <c r="O154" s="118">
        <v>198685</v>
      </c>
      <c r="P154" s="286">
        <v>206497</v>
      </c>
      <c r="Q154" s="169">
        <v>189875</v>
      </c>
      <c r="R154" s="169">
        <v>202122</v>
      </c>
      <c r="S154" s="169">
        <v>198091.37095000001</v>
      </c>
      <c r="T154" s="169">
        <v>171563</v>
      </c>
      <c r="V154" s="83" t="s">
        <v>315</v>
      </c>
      <c r="W154" s="169">
        <v>174755.88086999996</v>
      </c>
      <c r="X154" s="169">
        <f>+[32]EEFF_TE_Per!X154</f>
        <v>151906.32547000001</v>
      </c>
    </row>
    <row r="155" spans="2:24" ht="15.5">
      <c r="B155" s="83" t="s">
        <v>316</v>
      </c>
      <c r="C155" s="118">
        <v>28448</v>
      </c>
      <c r="D155" s="118">
        <v>20542</v>
      </c>
      <c r="E155" s="118">
        <v>18860</v>
      </c>
      <c r="F155" s="118">
        <v>19362</v>
      </c>
      <c r="G155" s="118">
        <v>19762</v>
      </c>
      <c r="H155" s="118">
        <v>22055</v>
      </c>
      <c r="I155" s="118">
        <v>20530</v>
      </c>
      <c r="J155" s="118">
        <v>20908</v>
      </c>
      <c r="K155" s="118">
        <v>20870</v>
      </c>
      <c r="L155" s="118">
        <v>19267</v>
      </c>
      <c r="M155" s="118">
        <v>21844</v>
      </c>
      <c r="N155" s="118">
        <v>22330</v>
      </c>
      <c r="O155" s="118">
        <v>22624</v>
      </c>
      <c r="P155" s="286">
        <v>22357</v>
      </c>
      <c r="Q155" s="169">
        <v>24249</v>
      </c>
      <c r="R155" s="169">
        <v>25420</v>
      </c>
      <c r="S155" s="169">
        <v>28475.733640000002</v>
      </c>
      <c r="T155" s="169">
        <v>26709</v>
      </c>
      <c r="V155" s="83" t="s">
        <v>316</v>
      </c>
      <c r="W155" s="169">
        <v>22909.054559999997</v>
      </c>
      <c r="X155" s="169">
        <f>+[32]EEFF_TE_Per!X155</f>
        <v>23720.49511</v>
      </c>
    </row>
    <row r="156" spans="2:24" ht="15.5">
      <c r="B156" s="83" t="s">
        <v>317</v>
      </c>
      <c r="C156" s="118">
        <v>10484</v>
      </c>
      <c r="D156" s="118">
        <v>15944</v>
      </c>
      <c r="E156" s="118">
        <v>15025</v>
      </c>
      <c r="F156" s="118">
        <v>13794</v>
      </c>
      <c r="G156" s="118">
        <v>12820</v>
      </c>
      <c r="H156" s="118">
        <v>13423</v>
      </c>
      <c r="I156" s="118">
        <v>12892</v>
      </c>
      <c r="J156" s="118">
        <v>11867</v>
      </c>
      <c r="K156" s="118">
        <v>10985</v>
      </c>
      <c r="L156" s="118">
        <v>18035</v>
      </c>
      <c r="M156" s="118">
        <v>16639</v>
      </c>
      <c r="N156" s="118">
        <v>15711</v>
      </c>
      <c r="O156" s="118">
        <v>15289</v>
      </c>
      <c r="P156" s="286">
        <v>16334</v>
      </c>
      <c r="Q156" s="169">
        <v>15134</v>
      </c>
      <c r="R156" s="169">
        <v>14421</v>
      </c>
      <c r="S156" s="169">
        <v>13276.494359999999</v>
      </c>
      <c r="T156" s="169">
        <v>14976</v>
      </c>
      <c r="V156" s="83" t="s">
        <v>317</v>
      </c>
      <c r="W156" s="169">
        <v>15020.0957</v>
      </c>
      <c r="X156" s="169">
        <f>+[32]EEFF_TE_Per!X156</f>
        <v>14775.888269999999</v>
      </c>
    </row>
    <row r="157" spans="2:24" ht="15.5" thickBot="1">
      <c r="B157" s="126" t="s">
        <v>91</v>
      </c>
      <c r="C157" s="131">
        <v>247228</v>
      </c>
      <c r="D157" s="131">
        <v>211351</v>
      </c>
      <c r="E157" s="131">
        <v>259776</v>
      </c>
      <c r="F157" s="131">
        <v>249725</v>
      </c>
      <c r="G157" s="131">
        <v>208199</v>
      </c>
      <c r="H157" s="131">
        <v>202065</v>
      </c>
      <c r="I157" s="131">
        <v>200436</v>
      </c>
      <c r="J157" s="131">
        <v>226471</v>
      </c>
      <c r="K157" s="131">
        <v>269376</v>
      </c>
      <c r="L157" s="131">
        <v>274385</v>
      </c>
      <c r="M157" s="131">
        <v>273578</v>
      </c>
      <c r="N157" s="154">
        <v>274371</v>
      </c>
      <c r="O157" s="154">
        <v>271665</v>
      </c>
      <c r="P157" s="295">
        <f>SUM(P152:P156)</f>
        <v>269483</v>
      </c>
      <c r="Q157" s="154">
        <f>SUM(Q152:Q156)</f>
        <v>254916</v>
      </c>
      <c r="R157" s="154">
        <v>268826</v>
      </c>
      <c r="S157" s="154">
        <v>267245.61836000002</v>
      </c>
      <c r="T157" s="154">
        <f>SUM(T152:T156)</f>
        <v>238733</v>
      </c>
      <c r="V157" s="126" t="s">
        <v>91</v>
      </c>
      <c r="W157" s="154">
        <f>+SUM(W152:W156)</f>
        <v>237738.12134999997</v>
      </c>
      <c r="X157" s="154">
        <f>+[32]EEFF_TE_Per!X157</f>
        <v>214775.51923000001</v>
      </c>
    </row>
    <row r="158" spans="2:24" ht="15.5" thickBot="1">
      <c r="B158" s="132" t="s">
        <v>92</v>
      </c>
      <c r="C158" s="133">
        <v>326998</v>
      </c>
      <c r="D158" s="133">
        <v>321594</v>
      </c>
      <c r="E158" s="133">
        <v>378020</v>
      </c>
      <c r="F158" s="133">
        <v>326901</v>
      </c>
      <c r="G158" s="133">
        <v>315714</v>
      </c>
      <c r="H158" s="133">
        <v>319048</v>
      </c>
      <c r="I158" s="133">
        <v>370580</v>
      </c>
      <c r="J158" s="133">
        <v>330769</v>
      </c>
      <c r="K158" s="133">
        <v>306164</v>
      </c>
      <c r="L158" s="133">
        <v>319285</v>
      </c>
      <c r="M158" s="133">
        <v>365883</v>
      </c>
      <c r="N158" s="155">
        <v>368233</v>
      </c>
      <c r="O158" s="155">
        <v>330230</v>
      </c>
      <c r="P158" s="296">
        <f>P150+P157</f>
        <v>331607</v>
      </c>
      <c r="Q158" s="155">
        <f>Q150+Q157</f>
        <v>356125</v>
      </c>
      <c r="R158" s="155">
        <v>382315</v>
      </c>
      <c r="S158" s="155">
        <v>385246.07047000004</v>
      </c>
      <c r="T158" s="155">
        <f>T150+T157</f>
        <v>361438</v>
      </c>
      <c r="V158" s="132" t="s">
        <v>92</v>
      </c>
      <c r="W158" s="155">
        <f>+W157+W150</f>
        <v>380329.74595000001</v>
      </c>
      <c r="X158" s="155">
        <f>+[32]EEFF_TE_Per!X158</f>
        <v>340816.25433000003</v>
      </c>
    </row>
    <row r="159" spans="2:24" ht="15.5" thickBot="1">
      <c r="B159" s="134"/>
      <c r="C159" s="135"/>
      <c r="D159" s="135"/>
      <c r="E159" s="135"/>
      <c r="F159" s="135"/>
      <c r="G159" s="135"/>
      <c r="H159" s="135"/>
      <c r="I159" s="135"/>
      <c r="J159" s="135"/>
      <c r="K159" s="135"/>
      <c r="L159" s="135"/>
      <c r="M159" s="135"/>
      <c r="N159" s="156"/>
      <c r="O159" s="156"/>
      <c r="P159" s="297"/>
      <c r="Q159" s="156"/>
      <c r="R159" s="156"/>
      <c r="S159" s="156">
        <v>0</v>
      </c>
      <c r="V159" s="134"/>
    </row>
    <row r="160" spans="2:24" ht="15.5" thickBot="1">
      <c r="B160" s="140" t="s">
        <v>93</v>
      </c>
      <c r="C160" s="139"/>
      <c r="D160" s="139"/>
      <c r="E160" s="139"/>
      <c r="F160" s="139"/>
      <c r="G160" s="139"/>
      <c r="H160" s="139"/>
      <c r="I160" s="139"/>
      <c r="J160" s="139"/>
      <c r="K160" s="139"/>
      <c r="L160" s="139"/>
      <c r="M160" s="139"/>
      <c r="N160" s="159"/>
      <c r="O160" s="159"/>
      <c r="P160" s="300"/>
      <c r="Q160" s="159"/>
      <c r="R160" s="159"/>
      <c r="S160" s="159"/>
      <c r="T160" s="159"/>
      <c r="V160" s="140" t="s">
        <v>93</v>
      </c>
      <c r="W160" s="159"/>
      <c r="X160" s="159"/>
    </row>
    <row r="161" spans="1:24" ht="15.5">
      <c r="B161" s="83" t="s">
        <v>318</v>
      </c>
      <c r="C161" s="118">
        <v>23683</v>
      </c>
      <c r="D161" s="118">
        <v>23683</v>
      </c>
      <c r="E161" s="118">
        <v>23683</v>
      </c>
      <c r="F161" s="118">
        <v>23683</v>
      </c>
      <c r="G161" s="118">
        <v>23683</v>
      </c>
      <c r="H161" s="118">
        <v>23683</v>
      </c>
      <c r="I161" s="118">
        <v>23683</v>
      </c>
      <c r="J161" s="118">
        <v>23683</v>
      </c>
      <c r="K161" s="118">
        <v>23683</v>
      </c>
      <c r="L161" s="118">
        <v>23683</v>
      </c>
      <c r="M161" s="118">
        <v>23683</v>
      </c>
      <c r="N161" s="118">
        <v>23683</v>
      </c>
      <c r="O161" s="118">
        <v>23683</v>
      </c>
      <c r="P161" s="286">
        <v>23683</v>
      </c>
      <c r="Q161" s="169">
        <v>23683</v>
      </c>
      <c r="R161" s="169">
        <v>23683</v>
      </c>
      <c r="S161" s="169">
        <v>23682.675870000003</v>
      </c>
      <c r="T161" s="169">
        <v>23682.675870000003</v>
      </c>
      <c r="V161" s="83" t="s">
        <v>318</v>
      </c>
      <c r="W161" s="169">
        <v>23682.675870000003</v>
      </c>
      <c r="X161" s="169">
        <f>+[32]EEFF_TE_Per!X161</f>
        <v>23682.675870000003</v>
      </c>
    </row>
    <row r="162" spans="1:24" ht="15.5">
      <c r="B162" s="83" t="s">
        <v>319</v>
      </c>
      <c r="C162" s="118">
        <v>97571</v>
      </c>
      <c r="D162" s="118">
        <v>97571</v>
      </c>
      <c r="E162" s="118">
        <v>97571</v>
      </c>
      <c r="F162" s="118">
        <v>97571</v>
      </c>
      <c r="G162" s="118">
        <v>97571</v>
      </c>
      <c r="H162" s="118">
        <v>97571</v>
      </c>
      <c r="I162" s="118">
        <v>97571</v>
      </c>
      <c r="J162" s="118">
        <v>97571</v>
      </c>
      <c r="K162" s="118">
        <v>97571</v>
      </c>
      <c r="L162" s="118">
        <v>97571</v>
      </c>
      <c r="M162" s="118">
        <v>97571</v>
      </c>
      <c r="N162" s="118">
        <v>97571</v>
      </c>
      <c r="O162" s="118">
        <v>97571</v>
      </c>
      <c r="P162" s="286">
        <v>97571</v>
      </c>
      <c r="Q162" s="169">
        <v>97571</v>
      </c>
      <c r="R162" s="169">
        <v>97571</v>
      </c>
      <c r="S162" s="169">
        <v>72571.273010000004</v>
      </c>
      <c r="T162" s="169">
        <v>72571.273010000004</v>
      </c>
      <c r="V162" s="83" t="s">
        <v>319</v>
      </c>
      <c r="W162" s="169">
        <v>72571.273010000004</v>
      </c>
      <c r="X162" s="169">
        <f>+[32]EEFF_TE_Per!X162</f>
        <v>65571.273010000004</v>
      </c>
    </row>
    <row r="163" spans="1:24" ht="15.5">
      <c r="B163" s="83" t="s">
        <v>294</v>
      </c>
      <c r="C163" s="118">
        <v>4737</v>
      </c>
      <c r="D163" s="118">
        <v>4737</v>
      </c>
      <c r="E163" s="118">
        <v>4737</v>
      </c>
      <c r="F163" s="118">
        <v>4737</v>
      </c>
      <c r="G163" s="118">
        <v>4737</v>
      </c>
      <c r="H163" s="118">
        <v>4737</v>
      </c>
      <c r="I163" s="118">
        <v>4737</v>
      </c>
      <c r="J163" s="118">
        <v>4737</v>
      </c>
      <c r="K163" s="118">
        <v>4737</v>
      </c>
      <c r="L163" s="118">
        <v>4737</v>
      </c>
      <c r="M163" s="118">
        <v>4737</v>
      </c>
      <c r="N163" s="118">
        <v>4737</v>
      </c>
      <c r="O163" s="118">
        <v>4737</v>
      </c>
      <c r="P163" s="286">
        <v>4737</v>
      </c>
      <c r="Q163" s="169">
        <v>4737</v>
      </c>
      <c r="R163" s="169">
        <v>4737</v>
      </c>
      <c r="S163" s="169">
        <v>4736.5354600000001</v>
      </c>
      <c r="T163" s="169">
        <v>4736.5354600000001</v>
      </c>
      <c r="V163" s="83" t="s">
        <v>294</v>
      </c>
      <c r="W163" s="169">
        <v>4736.5354600000001</v>
      </c>
      <c r="X163" s="169">
        <f>+[32]EEFF_TE_Per!X163</f>
        <v>4736.5354600000001</v>
      </c>
    </row>
    <row r="164" spans="1:24" ht="15.5">
      <c r="B164" s="83" t="s">
        <v>320</v>
      </c>
      <c r="C164" s="118">
        <v>-9189</v>
      </c>
      <c r="D164" s="118">
        <v>-4784</v>
      </c>
      <c r="E164" s="118">
        <v>-3874</v>
      </c>
      <c r="F164" s="118">
        <v>-3534</v>
      </c>
      <c r="G164" s="118">
        <v>-3372</v>
      </c>
      <c r="H164" s="118">
        <v>-4330</v>
      </c>
      <c r="I164" s="118">
        <v>-3944</v>
      </c>
      <c r="J164" s="118">
        <v>-4306</v>
      </c>
      <c r="K164" s="118">
        <v>-3642</v>
      </c>
      <c r="L164" s="118">
        <v>-2817</v>
      </c>
      <c r="M164" s="118">
        <v>-3407</v>
      </c>
      <c r="N164" s="118">
        <v>-2829</v>
      </c>
      <c r="O164" s="118">
        <v>-2237</v>
      </c>
      <c r="P164" s="286">
        <v>-1793</v>
      </c>
      <c r="Q164" s="169">
        <v>-1754</v>
      </c>
      <c r="R164" s="169">
        <v>-1106</v>
      </c>
      <c r="S164" s="169">
        <v>-1685.53964</v>
      </c>
      <c r="T164" s="169">
        <v>-1574</v>
      </c>
      <c r="V164" s="83" t="s">
        <v>320</v>
      </c>
      <c r="W164" s="169">
        <v>-1089.0482199999999</v>
      </c>
      <c r="X164" s="169">
        <f>+[32]EEFF_TE_Per!X164</f>
        <v>-1872.7554499999999</v>
      </c>
    </row>
    <row r="165" spans="1:24" ht="15.5">
      <c r="B165" s="83" t="s">
        <v>295</v>
      </c>
      <c r="C165" s="118">
        <v>82918</v>
      </c>
      <c r="D165" s="118">
        <v>73162</v>
      </c>
      <c r="E165" s="118">
        <v>43291</v>
      </c>
      <c r="F165" s="118">
        <v>53814</v>
      </c>
      <c r="G165" s="118">
        <v>64729</v>
      </c>
      <c r="H165" s="118">
        <v>65199</v>
      </c>
      <c r="I165" s="118">
        <v>17150</v>
      </c>
      <c r="J165" s="118">
        <v>28968</v>
      </c>
      <c r="K165" s="118">
        <v>41788</v>
      </c>
      <c r="L165" s="118">
        <v>70132</v>
      </c>
      <c r="M165" s="118">
        <v>81843</v>
      </c>
      <c r="N165" s="118">
        <v>24303</v>
      </c>
      <c r="O165" s="118">
        <v>36486</v>
      </c>
      <c r="P165" s="286">
        <v>46208</v>
      </c>
      <c r="Q165" s="169">
        <v>13323</v>
      </c>
      <c r="R165" s="169">
        <v>25405</v>
      </c>
      <c r="S165" s="169">
        <v>39721.674399999996</v>
      </c>
      <c r="T165" s="169">
        <v>28761</v>
      </c>
      <c r="V165" s="83" t="s">
        <v>295</v>
      </c>
      <c r="W165" s="169">
        <v>15132.702450000001</v>
      </c>
      <c r="X165" s="169">
        <f>+[32]EEFF_TE_Per!X165</f>
        <v>30077.071090000001</v>
      </c>
    </row>
    <row r="166" spans="1:24" ht="15.5" thickBot="1">
      <c r="B166" s="126" t="s">
        <v>102</v>
      </c>
      <c r="C166" s="131">
        <v>199720</v>
      </c>
      <c r="D166" s="131">
        <v>194369</v>
      </c>
      <c r="E166" s="131">
        <v>165408</v>
      </c>
      <c r="F166" s="131">
        <v>176271</v>
      </c>
      <c r="G166" s="131">
        <v>187348</v>
      </c>
      <c r="H166" s="131">
        <v>186860</v>
      </c>
      <c r="I166" s="131">
        <v>139197</v>
      </c>
      <c r="J166" s="131">
        <v>150653</v>
      </c>
      <c r="K166" s="131">
        <v>164137</v>
      </c>
      <c r="L166" s="131">
        <v>193306</v>
      </c>
      <c r="M166" s="131">
        <v>204427</v>
      </c>
      <c r="N166" s="154">
        <v>147465</v>
      </c>
      <c r="O166" s="154">
        <v>160240</v>
      </c>
      <c r="P166" s="295">
        <f>SUM(P161:P165)</f>
        <v>170406</v>
      </c>
      <c r="Q166" s="154">
        <f>SUM(Q161:Q165)</f>
        <v>137560</v>
      </c>
      <c r="R166" s="154">
        <v>150290</v>
      </c>
      <c r="S166" s="154">
        <v>139026.61910000001</v>
      </c>
      <c r="T166" s="154">
        <f>SUM(T161:T165)</f>
        <v>128177.48434000001</v>
      </c>
      <c r="V166" s="126" t="s">
        <v>102</v>
      </c>
      <c r="W166" s="154">
        <f>+SUM(W161:W165)</f>
        <v>115034.13857000001</v>
      </c>
      <c r="X166" s="154">
        <f>+[32]EEFF_TE_Per!X166</f>
        <v>122194.79998000001</v>
      </c>
    </row>
    <row r="167" spans="1:24" ht="15.5" thickBot="1">
      <c r="B167" s="141" t="s">
        <v>103</v>
      </c>
      <c r="C167" s="133">
        <v>526718</v>
      </c>
      <c r="D167" s="133">
        <v>515963</v>
      </c>
      <c r="E167" s="133">
        <v>543428</v>
      </c>
      <c r="F167" s="133">
        <v>503172</v>
      </c>
      <c r="G167" s="133">
        <v>503062</v>
      </c>
      <c r="H167" s="133">
        <v>505908</v>
      </c>
      <c r="I167" s="133">
        <v>509777</v>
      </c>
      <c r="J167" s="133">
        <v>481422</v>
      </c>
      <c r="K167" s="133">
        <v>470301</v>
      </c>
      <c r="L167" s="133">
        <v>512591</v>
      </c>
      <c r="M167" s="133">
        <v>570310</v>
      </c>
      <c r="N167" s="155">
        <v>515698</v>
      </c>
      <c r="O167" s="155">
        <v>490470</v>
      </c>
      <c r="P167" s="296">
        <f>P158+P166</f>
        <v>502013</v>
      </c>
      <c r="Q167" s="155">
        <f>Q158+Q166</f>
        <v>493685</v>
      </c>
      <c r="R167" s="155">
        <v>532605</v>
      </c>
      <c r="S167" s="155">
        <v>524272.68957000005</v>
      </c>
      <c r="T167" s="155">
        <f>T158+T166</f>
        <v>489615.48434000002</v>
      </c>
      <c r="V167" s="141" t="s">
        <v>103</v>
      </c>
      <c r="W167" s="155">
        <f>+W166+W158</f>
        <v>495363.88452000002</v>
      </c>
      <c r="X167" s="155">
        <f>+[32]EEFF_TE_Per!X167</f>
        <v>463011.05431000004</v>
      </c>
    </row>
    <row r="168" spans="1:24" ht="15.5">
      <c r="B168" s="78"/>
      <c r="C168" s="122">
        <f>+C140-C158-C166</f>
        <v>0</v>
      </c>
      <c r="D168" s="122">
        <f t="shared" ref="D168:Q168" si="36">+D140-D158-D166</f>
        <v>0</v>
      </c>
      <c r="E168" s="122">
        <f t="shared" si="36"/>
        <v>0</v>
      </c>
      <c r="F168" s="122">
        <f t="shared" si="36"/>
        <v>0</v>
      </c>
      <c r="G168" s="122">
        <f t="shared" si="36"/>
        <v>0</v>
      </c>
      <c r="H168" s="122">
        <f t="shared" si="36"/>
        <v>0</v>
      </c>
      <c r="I168" s="122">
        <f t="shared" si="36"/>
        <v>0</v>
      </c>
      <c r="J168" s="122">
        <f t="shared" si="36"/>
        <v>0</v>
      </c>
      <c r="K168" s="122">
        <f t="shared" si="36"/>
        <v>0</v>
      </c>
      <c r="L168" s="122">
        <f t="shared" si="36"/>
        <v>0</v>
      </c>
      <c r="M168" s="122">
        <f t="shared" si="36"/>
        <v>0</v>
      </c>
      <c r="N168" s="122">
        <f t="shared" si="36"/>
        <v>0</v>
      </c>
      <c r="O168" s="122">
        <v>0</v>
      </c>
      <c r="P168" s="122">
        <f t="shared" si="36"/>
        <v>0</v>
      </c>
      <c r="Q168" s="122">
        <f t="shared" si="36"/>
        <v>0</v>
      </c>
      <c r="R168" s="122">
        <v>0</v>
      </c>
      <c r="S168" s="122">
        <v>0</v>
      </c>
    </row>
    <row r="169" spans="1:24" ht="15.5">
      <c r="B169" s="78"/>
      <c r="C169" s="78"/>
      <c r="D169" s="78"/>
      <c r="E169" s="78"/>
      <c r="F169" s="78"/>
      <c r="G169" s="78"/>
      <c r="H169" s="78"/>
      <c r="I169" s="78"/>
      <c r="J169" s="78"/>
      <c r="K169" s="78"/>
      <c r="L169" s="78"/>
      <c r="M169" s="78"/>
      <c r="N169" s="78"/>
      <c r="O169" s="78"/>
      <c r="P169" s="78"/>
      <c r="Q169" s="78"/>
      <c r="R169" s="78"/>
      <c r="S169" s="78"/>
    </row>
    <row r="170" spans="1:24" ht="15.5">
      <c r="B170" s="78"/>
      <c r="C170" s="78"/>
      <c r="D170" s="78"/>
      <c r="E170" s="78"/>
      <c r="F170" s="78"/>
      <c r="G170" s="78"/>
      <c r="H170" s="78"/>
      <c r="I170" s="78"/>
      <c r="J170" s="78"/>
      <c r="K170" s="78"/>
      <c r="L170" s="78"/>
      <c r="M170" s="78"/>
      <c r="N170" s="78"/>
      <c r="O170" s="78"/>
      <c r="P170" s="78"/>
      <c r="Q170" s="78"/>
      <c r="R170" s="78"/>
      <c r="S170" s="78"/>
    </row>
    <row r="171" spans="1:24" ht="15.5">
      <c r="A171" s="56" t="s">
        <v>104</v>
      </c>
      <c r="B171" s="12" t="s">
        <v>321</v>
      </c>
      <c r="C171" s="116"/>
      <c r="D171" s="116"/>
      <c r="E171" s="116"/>
      <c r="F171" s="116"/>
      <c r="G171" s="116"/>
      <c r="H171" s="116"/>
      <c r="I171" s="78"/>
      <c r="J171" s="78"/>
      <c r="K171" s="78"/>
      <c r="L171" s="78"/>
      <c r="M171" s="116"/>
      <c r="N171" s="116"/>
      <c r="O171" s="116"/>
      <c r="P171" s="116"/>
      <c r="Q171" s="116"/>
      <c r="R171" s="116"/>
      <c r="S171" s="116"/>
    </row>
    <row r="172" spans="1:24" ht="15.5">
      <c r="B172" s="14" t="s">
        <v>277</v>
      </c>
      <c r="C172" s="116"/>
      <c r="D172" s="116"/>
      <c r="E172" s="78"/>
      <c r="F172" s="78"/>
      <c r="G172" s="78"/>
      <c r="H172" s="78"/>
      <c r="I172" s="78"/>
      <c r="J172" s="78"/>
      <c r="K172" s="78"/>
      <c r="L172" s="78"/>
      <c r="M172" s="78"/>
      <c r="N172" s="78"/>
      <c r="O172" s="78"/>
      <c r="P172" s="78"/>
      <c r="Q172" s="78"/>
      <c r="R172" s="78"/>
      <c r="S172" s="78"/>
    </row>
    <row r="173" spans="1:24" ht="15.5">
      <c r="B173" s="78"/>
      <c r="C173" s="116">
        <f>8328-C190</f>
        <v>0</v>
      </c>
      <c r="D173" s="116">
        <f>9521-D190</f>
        <v>0</v>
      </c>
      <c r="E173" s="78"/>
      <c r="F173" s="78"/>
      <c r="G173" s="78"/>
      <c r="H173" s="78"/>
      <c r="I173" s="116"/>
      <c r="J173" s="116"/>
      <c r="K173" s="116"/>
      <c r="L173" s="116"/>
      <c r="M173" s="78"/>
      <c r="N173" s="78"/>
      <c r="O173" s="78"/>
      <c r="P173" s="78"/>
      <c r="Q173" s="78"/>
      <c r="R173" s="78"/>
      <c r="S173" s="78"/>
    </row>
    <row r="174" spans="1:24" ht="15">
      <c r="B174" s="282"/>
      <c r="C174" s="283">
        <v>2016</v>
      </c>
      <c r="D174" s="283">
        <v>2017</v>
      </c>
      <c r="E174" s="283" t="s">
        <v>19</v>
      </c>
      <c r="F174" s="283" t="s">
        <v>20</v>
      </c>
      <c r="G174" s="283" t="s">
        <v>21</v>
      </c>
      <c r="H174" s="283" t="s">
        <v>22</v>
      </c>
      <c r="I174" s="283" t="s">
        <v>23</v>
      </c>
      <c r="J174" s="283" t="s">
        <v>24</v>
      </c>
      <c r="K174" s="283" t="s">
        <v>25</v>
      </c>
      <c r="L174" s="283" t="s">
        <v>26</v>
      </c>
      <c r="M174" s="283" t="s">
        <v>27</v>
      </c>
      <c r="N174" s="283" t="s">
        <v>28</v>
      </c>
      <c r="O174" s="283" t="s">
        <v>29</v>
      </c>
      <c r="P174" s="284" t="s">
        <v>722</v>
      </c>
      <c r="Q174" s="283" t="s">
        <v>739</v>
      </c>
      <c r="R174" s="283" t="s">
        <v>912</v>
      </c>
      <c r="S174" s="283" t="s">
        <v>1051</v>
      </c>
      <c r="T174" s="283" t="s">
        <v>1089</v>
      </c>
      <c r="W174" s="283" t="s">
        <v>1109</v>
      </c>
      <c r="X174" s="283" t="s">
        <v>1190</v>
      </c>
    </row>
    <row r="175" spans="1:24" ht="15.5">
      <c r="B175" s="166"/>
      <c r="C175" s="167"/>
      <c r="D175" s="167"/>
      <c r="E175" s="167"/>
      <c r="F175" s="167"/>
      <c r="G175" s="167"/>
      <c r="H175" s="167"/>
      <c r="I175" s="167"/>
      <c r="J175" s="167"/>
      <c r="K175" s="167"/>
      <c r="L175" s="167"/>
      <c r="M175" s="167"/>
      <c r="N175" s="167"/>
      <c r="O175" s="167"/>
      <c r="P175" s="285"/>
      <c r="Q175" s="167"/>
      <c r="R175" s="167"/>
      <c r="S175" s="167"/>
      <c r="T175" s="167"/>
      <c r="W175" s="167"/>
      <c r="X175" s="167"/>
    </row>
    <row r="176" spans="1:24" ht="15.5">
      <c r="B176" s="168" t="s">
        <v>30</v>
      </c>
      <c r="C176" s="169">
        <v>19784</v>
      </c>
      <c r="D176" s="169">
        <v>32</v>
      </c>
      <c r="E176" s="169">
        <v>0</v>
      </c>
      <c r="F176" s="169">
        <v>0</v>
      </c>
      <c r="G176" s="169">
        <v>0</v>
      </c>
      <c r="H176" s="169">
        <v>0</v>
      </c>
      <c r="I176" s="169">
        <v>0</v>
      </c>
      <c r="J176" s="169">
        <v>0</v>
      </c>
      <c r="K176" s="169">
        <v>0</v>
      </c>
      <c r="L176" s="169">
        <v>0</v>
      </c>
      <c r="M176" s="169">
        <v>0</v>
      </c>
      <c r="N176" s="169">
        <v>0</v>
      </c>
      <c r="O176" s="169">
        <v>0</v>
      </c>
      <c r="P176" s="286">
        <v>0</v>
      </c>
      <c r="Q176" s="169">
        <v>0</v>
      </c>
      <c r="R176" s="169">
        <v>0</v>
      </c>
      <c r="S176" s="169">
        <v>0</v>
      </c>
      <c r="T176" s="169">
        <v>0</v>
      </c>
      <c r="V176" s="83" t="s">
        <v>30</v>
      </c>
      <c r="W176" s="169">
        <v>0</v>
      </c>
      <c r="X176" s="169">
        <f>+[32]EEFF_TE_Per!X176</f>
        <v>0</v>
      </c>
    </row>
    <row r="177" spans="2:24" ht="15.5">
      <c r="B177" s="168" t="s">
        <v>31</v>
      </c>
      <c r="C177" s="169">
        <v>19784</v>
      </c>
      <c r="D177" s="169">
        <v>32</v>
      </c>
      <c r="E177" s="169">
        <v>0</v>
      </c>
      <c r="F177" s="169">
        <v>0</v>
      </c>
      <c r="G177" s="169">
        <v>0</v>
      </c>
      <c r="H177" s="169">
        <v>0</v>
      </c>
      <c r="I177" s="169">
        <v>0</v>
      </c>
      <c r="J177" s="169">
        <v>0</v>
      </c>
      <c r="K177" s="169">
        <v>0</v>
      </c>
      <c r="L177" s="169">
        <v>0</v>
      </c>
      <c r="M177" s="169">
        <v>0</v>
      </c>
      <c r="N177" s="169">
        <v>0</v>
      </c>
      <c r="O177" s="169">
        <v>0</v>
      </c>
      <c r="P177" s="286">
        <v>0</v>
      </c>
      <c r="Q177" s="169">
        <v>0</v>
      </c>
      <c r="R177" s="169">
        <v>0</v>
      </c>
      <c r="S177" s="169">
        <v>0</v>
      </c>
      <c r="T177" s="169">
        <v>0</v>
      </c>
      <c r="V177" s="83" t="s">
        <v>31</v>
      </c>
      <c r="W177" s="169">
        <v>0</v>
      </c>
      <c r="X177" s="169">
        <f>+[32]EEFF_TE_Per!X177</f>
        <v>0</v>
      </c>
    </row>
    <row r="178" spans="2:24" ht="15.5">
      <c r="B178" s="170" t="s">
        <v>32</v>
      </c>
      <c r="C178" s="171">
        <f t="shared" ref="C178:N178" si="37">+C176-C177</f>
        <v>0</v>
      </c>
      <c r="D178" s="171">
        <f t="shared" si="37"/>
        <v>0</v>
      </c>
      <c r="E178" s="171">
        <f t="shared" si="37"/>
        <v>0</v>
      </c>
      <c r="F178" s="171">
        <f t="shared" si="37"/>
        <v>0</v>
      </c>
      <c r="G178" s="171">
        <f t="shared" si="37"/>
        <v>0</v>
      </c>
      <c r="H178" s="171">
        <f t="shared" si="37"/>
        <v>0</v>
      </c>
      <c r="I178" s="171">
        <f t="shared" si="37"/>
        <v>0</v>
      </c>
      <c r="J178" s="171">
        <f t="shared" si="37"/>
        <v>0</v>
      </c>
      <c r="K178" s="171">
        <f t="shared" si="37"/>
        <v>0</v>
      </c>
      <c r="L178" s="171">
        <f t="shared" si="37"/>
        <v>0</v>
      </c>
      <c r="M178" s="171">
        <f t="shared" si="37"/>
        <v>0</v>
      </c>
      <c r="N178" s="171">
        <f t="shared" si="37"/>
        <v>0</v>
      </c>
      <c r="O178" s="171">
        <v>0</v>
      </c>
      <c r="P178" s="287">
        <v>0</v>
      </c>
      <c r="Q178" s="171">
        <v>0</v>
      </c>
      <c r="R178" s="171">
        <v>0</v>
      </c>
      <c r="S178" s="171">
        <v>0</v>
      </c>
      <c r="T178" s="171">
        <v>0</v>
      </c>
      <c r="V178" s="142" t="s">
        <v>1110</v>
      </c>
      <c r="W178" s="171">
        <f>+W176-W177</f>
        <v>0</v>
      </c>
      <c r="X178" s="171">
        <f>+[32]EEFF_TE_Per!X178</f>
        <v>0</v>
      </c>
    </row>
    <row r="179" spans="2:24" ht="15.5">
      <c r="B179" s="150"/>
      <c r="C179" s="35"/>
      <c r="D179" s="35"/>
      <c r="E179" s="35"/>
      <c r="F179" s="35"/>
      <c r="G179" s="35"/>
      <c r="H179" s="35"/>
      <c r="I179" s="35"/>
      <c r="J179" s="35"/>
      <c r="K179" s="35"/>
      <c r="L179" s="35"/>
      <c r="M179" s="35"/>
      <c r="N179" s="35"/>
      <c r="O179" s="35"/>
      <c r="P179" s="285"/>
      <c r="Q179" s="167"/>
      <c r="R179" s="167"/>
      <c r="S179" s="167"/>
      <c r="T179" s="167"/>
      <c r="V179" s="150"/>
      <c r="W179" s="167"/>
      <c r="X179" s="167"/>
    </row>
    <row r="180" spans="2:24" ht="15.5">
      <c r="B180" s="83" t="s">
        <v>297</v>
      </c>
      <c r="C180" s="118">
        <v>13606</v>
      </c>
      <c r="D180" s="118">
        <v>15366</v>
      </c>
      <c r="E180" s="118">
        <v>3791</v>
      </c>
      <c r="F180" s="118">
        <v>4173</v>
      </c>
      <c r="G180" s="118">
        <v>4437</v>
      </c>
      <c r="H180" s="118">
        <v>4492</v>
      </c>
      <c r="I180" s="118">
        <v>4679</v>
      </c>
      <c r="J180" s="118">
        <v>4737</v>
      </c>
      <c r="K180" s="118">
        <v>4226</v>
      </c>
      <c r="L180" s="118">
        <v>4536</v>
      </c>
      <c r="M180" s="118">
        <v>4398</v>
      </c>
      <c r="N180" s="118">
        <v>4633</v>
      </c>
      <c r="O180" s="118">
        <v>4692</v>
      </c>
      <c r="P180" s="286">
        <v>4711</v>
      </c>
      <c r="Q180" s="169">
        <v>7593</v>
      </c>
      <c r="R180" s="169">
        <v>7354</v>
      </c>
      <c r="S180" s="169">
        <v>7548.1848299999983</v>
      </c>
      <c r="T180" s="169">
        <v>7589</v>
      </c>
      <c r="V180" s="83" t="s">
        <v>107</v>
      </c>
      <c r="W180" s="169">
        <v>7772.3031999999994</v>
      </c>
      <c r="X180" s="169">
        <f>+[32]EEFF_TE_Per!X180</f>
        <v>7925.2119500000017</v>
      </c>
    </row>
    <row r="181" spans="2:24" ht="15.5">
      <c r="B181" s="83" t="s">
        <v>298</v>
      </c>
      <c r="C181" s="118">
        <v>121</v>
      </c>
      <c r="D181" s="118">
        <v>163</v>
      </c>
      <c r="E181" s="118">
        <v>25</v>
      </c>
      <c r="F181" s="118">
        <v>25</v>
      </c>
      <c r="G181" s="118">
        <v>25</v>
      </c>
      <c r="H181" s="118">
        <v>30</v>
      </c>
      <c r="I181" s="118">
        <v>21</v>
      </c>
      <c r="J181" s="118">
        <v>30</v>
      </c>
      <c r="K181" s="118">
        <v>25</v>
      </c>
      <c r="L181" s="118">
        <v>30</v>
      </c>
      <c r="M181" s="118">
        <v>30</v>
      </c>
      <c r="N181" s="118">
        <v>27</v>
      </c>
      <c r="O181" s="118">
        <v>25</v>
      </c>
      <c r="P181" s="286">
        <v>36</v>
      </c>
      <c r="Q181" s="169">
        <v>101</v>
      </c>
      <c r="R181" s="169">
        <v>587</v>
      </c>
      <c r="S181" s="169">
        <v>-39.902330000000006</v>
      </c>
      <c r="T181" s="169">
        <v>178</v>
      </c>
      <c r="V181" s="83" t="s">
        <v>278</v>
      </c>
      <c r="W181" s="169">
        <v>213.55482000000001</v>
      </c>
      <c r="X181" s="169">
        <f>+[32]EEFF_TE_Per!X181</f>
        <v>166.42483000000004</v>
      </c>
    </row>
    <row r="182" spans="2:24" ht="15.5">
      <c r="B182" s="168" t="s">
        <v>299</v>
      </c>
      <c r="C182" s="118">
        <v>0</v>
      </c>
      <c r="D182" s="118">
        <v>0</v>
      </c>
      <c r="E182" s="118">
        <v>0</v>
      </c>
      <c r="F182" s="118">
        <v>0</v>
      </c>
      <c r="G182" s="118">
        <v>0</v>
      </c>
      <c r="H182" s="118">
        <v>0</v>
      </c>
      <c r="I182" s="118">
        <v>0</v>
      </c>
      <c r="J182" s="118">
        <v>0</v>
      </c>
      <c r="K182" s="118">
        <v>0</v>
      </c>
      <c r="L182" s="118">
        <v>0</v>
      </c>
      <c r="M182" s="118">
        <v>0</v>
      </c>
      <c r="N182" s="118">
        <v>0</v>
      </c>
      <c r="O182" s="118">
        <v>0</v>
      </c>
      <c r="P182" s="286">
        <v>0</v>
      </c>
      <c r="Q182" s="169">
        <v>0</v>
      </c>
      <c r="R182" s="169">
        <v>0</v>
      </c>
      <c r="S182" s="169">
        <v>0</v>
      </c>
      <c r="T182" s="169">
        <v>0</v>
      </c>
      <c r="V182" s="83" t="s">
        <v>39</v>
      </c>
      <c r="W182" s="169">
        <v>12.397270000000001</v>
      </c>
      <c r="X182" s="169">
        <f>+[32]EEFF_TE_Per!X182</f>
        <v>5.1699999999996749E-3</v>
      </c>
    </row>
    <row r="183" spans="2:24" ht="15.5">
      <c r="B183" s="83" t="s">
        <v>40</v>
      </c>
      <c r="C183" s="118">
        <v>1637</v>
      </c>
      <c r="D183" s="118">
        <v>1842</v>
      </c>
      <c r="E183" s="118">
        <v>387</v>
      </c>
      <c r="F183" s="118">
        <v>462</v>
      </c>
      <c r="G183" s="118">
        <v>573</v>
      </c>
      <c r="H183" s="118">
        <v>591</v>
      </c>
      <c r="I183" s="118">
        <v>504</v>
      </c>
      <c r="J183" s="118">
        <v>493</v>
      </c>
      <c r="K183" s="118">
        <v>636</v>
      </c>
      <c r="L183" s="118">
        <v>701</v>
      </c>
      <c r="M183" s="118">
        <v>661</v>
      </c>
      <c r="N183" s="118">
        <v>695</v>
      </c>
      <c r="O183" s="118">
        <v>1758</v>
      </c>
      <c r="P183" s="286">
        <v>782</v>
      </c>
      <c r="Q183" s="169">
        <v>900</v>
      </c>
      <c r="R183" s="169">
        <v>1045</v>
      </c>
      <c r="S183" s="169">
        <v>1483.4238399999999</v>
      </c>
      <c r="T183" s="169">
        <v>1403</v>
      </c>
      <c r="V183" s="83" t="s">
        <v>40</v>
      </c>
      <c r="W183" s="169">
        <v>1422.2443400000002</v>
      </c>
      <c r="X183" s="169">
        <f>+[32]EEFF_TE_Per!X183</f>
        <v>1116.25668</v>
      </c>
    </row>
    <row r="184" spans="2:24" ht="15.5">
      <c r="B184" s="170" t="s">
        <v>41</v>
      </c>
      <c r="C184" s="171">
        <f t="shared" ref="C184:N184" si="38">+SUM(C180:C182)-C183</f>
        <v>12090</v>
      </c>
      <c r="D184" s="171">
        <f t="shared" si="38"/>
        <v>13687</v>
      </c>
      <c r="E184" s="171">
        <f t="shared" si="38"/>
        <v>3429</v>
      </c>
      <c r="F184" s="171">
        <f t="shared" si="38"/>
        <v>3736</v>
      </c>
      <c r="G184" s="171">
        <f t="shared" si="38"/>
        <v>3889</v>
      </c>
      <c r="H184" s="171">
        <f t="shared" si="38"/>
        <v>3931</v>
      </c>
      <c r="I184" s="171">
        <f t="shared" si="38"/>
        <v>4196</v>
      </c>
      <c r="J184" s="171">
        <f t="shared" si="38"/>
        <v>4274</v>
      </c>
      <c r="K184" s="171">
        <f t="shared" si="38"/>
        <v>3615</v>
      </c>
      <c r="L184" s="171">
        <f t="shared" si="38"/>
        <v>3865</v>
      </c>
      <c r="M184" s="171">
        <f t="shared" si="38"/>
        <v>3767</v>
      </c>
      <c r="N184" s="171">
        <f t="shared" si="38"/>
        <v>3965</v>
      </c>
      <c r="O184" s="171">
        <v>2959</v>
      </c>
      <c r="P184" s="287">
        <f>+SUM(P180:P182)-P183</f>
        <v>3965</v>
      </c>
      <c r="Q184" s="171">
        <f t="shared" ref="Q184" si="39">+SUM(Q180:Q182)-Q183</f>
        <v>6794</v>
      </c>
      <c r="R184" s="171">
        <v>6896</v>
      </c>
      <c r="S184" s="171">
        <v>6024.8586599999981</v>
      </c>
      <c r="T184" s="171">
        <f t="shared" ref="T184" si="40">+SUM(T180:T182)-T183</f>
        <v>6364</v>
      </c>
      <c r="V184" s="142" t="s">
        <v>43</v>
      </c>
      <c r="W184" s="171">
        <v>1123.8708999999999</v>
      </c>
      <c r="X184" s="171">
        <f>+[32]EEFF_TE_Per!X184</f>
        <v>1168.1041299999997</v>
      </c>
    </row>
    <row r="185" spans="2:24" ht="15.5">
      <c r="B185" s="172" t="s">
        <v>111</v>
      </c>
      <c r="C185" s="173">
        <f t="shared" ref="C185:Q185" si="41">+C178+C184</f>
        <v>12090</v>
      </c>
      <c r="D185" s="173">
        <f t="shared" si="41"/>
        <v>13687</v>
      </c>
      <c r="E185" s="173">
        <f t="shared" si="41"/>
        <v>3429</v>
      </c>
      <c r="F185" s="173">
        <f t="shared" si="41"/>
        <v>3736</v>
      </c>
      <c r="G185" s="173">
        <f t="shared" si="41"/>
        <v>3889</v>
      </c>
      <c r="H185" s="173">
        <f t="shared" si="41"/>
        <v>3931</v>
      </c>
      <c r="I185" s="173">
        <f t="shared" si="41"/>
        <v>4196</v>
      </c>
      <c r="J185" s="173">
        <f t="shared" si="41"/>
        <v>4274</v>
      </c>
      <c r="K185" s="173">
        <f t="shared" si="41"/>
        <v>3615</v>
      </c>
      <c r="L185" s="173">
        <f t="shared" si="41"/>
        <v>3865</v>
      </c>
      <c r="M185" s="173">
        <f t="shared" si="41"/>
        <v>3767</v>
      </c>
      <c r="N185" s="173">
        <f t="shared" si="41"/>
        <v>3965</v>
      </c>
      <c r="O185" s="173">
        <v>2959</v>
      </c>
      <c r="P185" s="288">
        <f t="shared" si="41"/>
        <v>3965</v>
      </c>
      <c r="Q185" s="173">
        <f t="shared" si="41"/>
        <v>6794</v>
      </c>
      <c r="R185" s="173">
        <v>6896</v>
      </c>
      <c r="S185" s="173">
        <v>6024.8586599999981</v>
      </c>
      <c r="T185" s="173">
        <f t="shared" ref="T185" si="42">+T178+T184</f>
        <v>6364</v>
      </c>
      <c r="V185" s="85" t="s">
        <v>1111</v>
      </c>
      <c r="W185" s="173">
        <f>+SUM(W180:W182)-SUM(W183:W184)+W178</f>
        <v>5452.14005</v>
      </c>
      <c r="X185" s="173">
        <f>+[32]EEFF_TE_Per!X185</f>
        <v>5807.2811400000028</v>
      </c>
    </row>
    <row r="186" spans="2:24" ht="15.5">
      <c r="B186" s="82"/>
      <c r="C186" s="9"/>
      <c r="D186" s="9"/>
      <c r="E186" s="9"/>
      <c r="F186" s="9"/>
      <c r="G186" s="9"/>
      <c r="H186" s="9"/>
      <c r="I186" s="9"/>
      <c r="J186" s="163"/>
      <c r="K186" s="163"/>
      <c r="L186" s="163"/>
      <c r="M186" s="9"/>
      <c r="N186" s="163"/>
      <c r="O186" s="163"/>
      <c r="P186" s="303"/>
      <c r="Q186" s="364"/>
      <c r="R186" s="364"/>
      <c r="S186" s="364"/>
      <c r="T186" s="364"/>
      <c r="V186" s="82"/>
      <c r="W186" s="364"/>
      <c r="X186" s="364">
        <f>+[32]EEFF_TE_Per!X186</f>
        <v>0</v>
      </c>
    </row>
    <row r="187" spans="2:24" ht="15.5">
      <c r="B187" s="83" t="s">
        <v>43</v>
      </c>
      <c r="C187" s="169">
        <v>3601</v>
      </c>
      <c r="D187" s="169">
        <v>4089</v>
      </c>
      <c r="E187" s="169">
        <v>975</v>
      </c>
      <c r="F187" s="169">
        <v>977</v>
      </c>
      <c r="G187" s="169">
        <v>975</v>
      </c>
      <c r="H187" s="169">
        <v>976</v>
      </c>
      <c r="I187" s="169">
        <v>901</v>
      </c>
      <c r="J187" s="169">
        <v>901</v>
      </c>
      <c r="K187" s="169">
        <v>900</v>
      </c>
      <c r="L187" s="169">
        <v>-596</v>
      </c>
      <c r="M187" s="169">
        <v>915</v>
      </c>
      <c r="N187" s="169">
        <v>915</v>
      </c>
      <c r="O187" s="169">
        <v>915</v>
      </c>
      <c r="P187" s="286">
        <v>972</v>
      </c>
      <c r="Q187" s="169">
        <v>1141</v>
      </c>
      <c r="R187" s="169">
        <v>1139</v>
      </c>
      <c r="S187" s="169">
        <v>1375.67679</v>
      </c>
      <c r="T187" s="169">
        <v>1178</v>
      </c>
      <c r="V187" s="83"/>
      <c r="W187" s="169"/>
      <c r="X187" s="169">
        <f>+[32]EEFF_TE_Per!X187</f>
        <v>0</v>
      </c>
    </row>
    <row r="188" spans="2:24" ht="15.5">
      <c r="B188" s="83" t="s">
        <v>44</v>
      </c>
      <c r="C188" s="118">
        <v>0</v>
      </c>
      <c r="D188" s="118">
        <v>0</v>
      </c>
      <c r="E188" s="118">
        <v>0</v>
      </c>
      <c r="F188" s="118">
        <v>0</v>
      </c>
      <c r="G188" s="118">
        <v>0</v>
      </c>
      <c r="H188" s="118">
        <v>0</v>
      </c>
      <c r="I188" s="118">
        <v>0</v>
      </c>
      <c r="J188" s="118">
        <v>0</v>
      </c>
      <c r="K188" s="118">
        <v>0</v>
      </c>
      <c r="L188" s="118">
        <v>0</v>
      </c>
      <c r="M188" s="118">
        <v>0</v>
      </c>
      <c r="N188" s="118">
        <v>0</v>
      </c>
      <c r="O188" s="118">
        <v>0</v>
      </c>
      <c r="P188" s="286">
        <v>0</v>
      </c>
      <c r="Q188" s="169">
        <v>0</v>
      </c>
      <c r="R188" s="169">
        <v>0</v>
      </c>
      <c r="S188" s="169">
        <v>0</v>
      </c>
      <c r="T188" s="169">
        <v>0</v>
      </c>
      <c r="V188" s="83" t="s">
        <v>44</v>
      </c>
      <c r="W188" s="169"/>
      <c r="X188" s="169">
        <f>+[32]EEFF_TE_Per!X188</f>
        <v>0</v>
      </c>
    </row>
    <row r="189" spans="2:24" ht="15.5">
      <c r="B189" s="83" t="s">
        <v>45</v>
      </c>
      <c r="C189" s="118">
        <v>-161</v>
      </c>
      <c r="D189" s="118">
        <v>-77</v>
      </c>
      <c r="E189" s="118">
        <v>-17</v>
      </c>
      <c r="F189" s="118">
        <v>-15</v>
      </c>
      <c r="G189" s="118">
        <v>0</v>
      </c>
      <c r="H189" s="118">
        <v>-22</v>
      </c>
      <c r="I189" s="118">
        <v>1</v>
      </c>
      <c r="J189" s="118">
        <v>0</v>
      </c>
      <c r="K189" s="118">
        <v>-1</v>
      </c>
      <c r="L189" s="118">
        <v>-3</v>
      </c>
      <c r="M189" s="118">
        <v>0</v>
      </c>
      <c r="N189" s="118">
        <v>-21</v>
      </c>
      <c r="O189" s="118">
        <v>54</v>
      </c>
      <c r="P189" s="286">
        <v>2</v>
      </c>
      <c r="Q189" s="169">
        <v>5</v>
      </c>
      <c r="R189" s="169">
        <v>1</v>
      </c>
      <c r="S189" s="169">
        <v>0.46403999999999979</v>
      </c>
      <c r="T189" s="169">
        <v>4</v>
      </c>
      <c r="V189" s="83" t="s">
        <v>45</v>
      </c>
      <c r="W189" s="169"/>
      <c r="X189" s="169">
        <f>+[32]EEFF_TE_Per!X189</f>
        <v>0</v>
      </c>
    </row>
    <row r="190" spans="2:24" ht="15.5">
      <c r="B190" s="85" t="s">
        <v>46</v>
      </c>
      <c r="C190" s="120">
        <f t="shared" ref="C190:Q190" si="43">C185-C187+C188+C189</f>
        <v>8328</v>
      </c>
      <c r="D190" s="120">
        <f t="shared" si="43"/>
        <v>9521</v>
      </c>
      <c r="E190" s="120">
        <f t="shared" si="43"/>
        <v>2437</v>
      </c>
      <c r="F190" s="120">
        <f t="shared" si="43"/>
        <v>2744</v>
      </c>
      <c r="G190" s="120">
        <f t="shared" si="43"/>
        <v>2914</v>
      </c>
      <c r="H190" s="120">
        <f t="shared" si="43"/>
        <v>2933</v>
      </c>
      <c r="I190" s="120">
        <f t="shared" si="43"/>
        <v>3296</v>
      </c>
      <c r="J190" s="120">
        <f t="shared" si="43"/>
        <v>3373</v>
      </c>
      <c r="K190" s="120">
        <f t="shared" si="43"/>
        <v>2714</v>
      </c>
      <c r="L190" s="120">
        <f t="shared" si="43"/>
        <v>4458</v>
      </c>
      <c r="M190" s="120">
        <f t="shared" si="43"/>
        <v>2852</v>
      </c>
      <c r="N190" s="120">
        <f t="shared" si="43"/>
        <v>3029</v>
      </c>
      <c r="O190" s="120">
        <v>2098</v>
      </c>
      <c r="P190" s="289">
        <f t="shared" si="43"/>
        <v>2995</v>
      </c>
      <c r="Q190" s="365">
        <f t="shared" si="43"/>
        <v>5658</v>
      </c>
      <c r="R190" s="365">
        <v>5758</v>
      </c>
      <c r="S190" s="365">
        <v>4649.6459099999984</v>
      </c>
      <c r="T190" s="365">
        <f t="shared" ref="T190" si="44">T185-T187+T188+T189</f>
        <v>5190</v>
      </c>
      <c r="V190" s="85" t="s">
        <v>46</v>
      </c>
      <c r="W190" s="365">
        <f>+W185+W188+W189</f>
        <v>5452.14005</v>
      </c>
      <c r="X190" s="365">
        <f>+[32]EEFF_TE_Per!X190</f>
        <v>5807.2811400000028</v>
      </c>
    </row>
    <row r="191" spans="2:24" ht="15.5">
      <c r="B191" s="83"/>
      <c r="C191" s="118"/>
      <c r="D191" s="118"/>
      <c r="E191" s="118"/>
      <c r="F191" s="118"/>
      <c r="G191" s="118"/>
      <c r="H191" s="118"/>
      <c r="I191" s="118"/>
      <c r="J191" s="118"/>
      <c r="K191" s="118"/>
      <c r="L191" s="118"/>
      <c r="M191" s="118"/>
      <c r="N191" s="118"/>
      <c r="O191" s="118"/>
      <c r="P191" s="286"/>
      <c r="Q191" s="169"/>
      <c r="R191" s="169"/>
      <c r="S191" s="169">
        <v>0</v>
      </c>
      <c r="T191" s="169"/>
      <c r="V191" s="83"/>
      <c r="W191" s="169"/>
      <c r="X191" s="169">
        <f>+[32]EEFF_TE_Per!X191</f>
        <v>0</v>
      </c>
    </row>
    <row r="192" spans="2:24" ht="15.5">
      <c r="B192" s="83" t="s">
        <v>47</v>
      </c>
      <c r="C192" s="118">
        <v>-541</v>
      </c>
      <c r="D192" s="118">
        <v>-1453</v>
      </c>
      <c r="E192" s="118">
        <v>-355</v>
      </c>
      <c r="F192" s="118">
        <v>-399</v>
      </c>
      <c r="G192" s="118">
        <v>-365</v>
      </c>
      <c r="H192" s="118">
        <f>-1368-E192-F192+-G192</f>
        <v>-249</v>
      </c>
      <c r="I192" s="169">
        <v>-286</v>
      </c>
      <c r="J192" s="169">
        <v>-223</v>
      </c>
      <c r="K192" s="169">
        <v>-308</v>
      </c>
      <c r="L192" s="169">
        <v>-35</v>
      </c>
      <c r="M192" s="169">
        <v>-259</v>
      </c>
      <c r="N192" s="169">
        <v>-290</v>
      </c>
      <c r="O192" s="169">
        <v>-497</v>
      </c>
      <c r="P192" s="286">
        <v>863</v>
      </c>
      <c r="Q192" s="169">
        <v>-1072</v>
      </c>
      <c r="R192" s="169">
        <v>-1075</v>
      </c>
      <c r="S192" s="169">
        <v>-625.01675999999998</v>
      </c>
      <c r="T192" s="169">
        <v>-1741</v>
      </c>
      <c r="V192" s="83" t="s">
        <v>47</v>
      </c>
      <c r="W192" s="169">
        <v>-5520.816890000001</v>
      </c>
      <c r="X192" s="169">
        <f>+[32]EEFF_TE_Per!X192</f>
        <v>-1906.485279999999</v>
      </c>
    </row>
    <row r="193" spans="1:24" ht="15.5">
      <c r="B193" s="85" t="s">
        <v>48</v>
      </c>
      <c r="C193" s="120">
        <f>+C190+C192</f>
        <v>7787</v>
      </c>
      <c r="D193" s="120">
        <f t="shared" ref="D193:Q193" si="45">+D190+D192</f>
        <v>8068</v>
      </c>
      <c r="E193" s="120">
        <f t="shared" si="45"/>
        <v>2082</v>
      </c>
      <c r="F193" s="120">
        <f t="shared" si="45"/>
        <v>2345</v>
      </c>
      <c r="G193" s="120">
        <f t="shared" si="45"/>
        <v>2549</v>
      </c>
      <c r="H193" s="120">
        <f t="shared" si="45"/>
        <v>2684</v>
      </c>
      <c r="I193" s="120">
        <f t="shared" si="45"/>
        <v>3010</v>
      </c>
      <c r="J193" s="120">
        <f t="shared" si="45"/>
        <v>3150</v>
      </c>
      <c r="K193" s="120">
        <f t="shared" si="45"/>
        <v>2406</v>
      </c>
      <c r="L193" s="120">
        <f t="shared" si="45"/>
        <v>4423</v>
      </c>
      <c r="M193" s="120">
        <f t="shared" si="45"/>
        <v>2593</v>
      </c>
      <c r="N193" s="120">
        <f t="shared" si="45"/>
        <v>2739</v>
      </c>
      <c r="O193" s="120">
        <v>1601</v>
      </c>
      <c r="P193" s="289">
        <f t="shared" si="45"/>
        <v>3858</v>
      </c>
      <c r="Q193" s="365">
        <f t="shared" si="45"/>
        <v>4586</v>
      </c>
      <c r="R193" s="365">
        <v>4683</v>
      </c>
      <c r="S193" s="365">
        <v>4024.6291499999984</v>
      </c>
      <c r="T193" s="365">
        <f t="shared" ref="T193" si="46">+T190+T192</f>
        <v>3449</v>
      </c>
      <c r="V193" s="85" t="s">
        <v>48</v>
      </c>
      <c r="W193" s="365">
        <f>+W190+W192</f>
        <v>-68.676840000000993</v>
      </c>
      <c r="X193" s="365">
        <f>+[32]EEFF_TE_Per!X193</f>
        <v>3900.7958600000038</v>
      </c>
    </row>
    <row r="194" spans="1:24" ht="15.5">
      <c r="B194" s="82"/>
      <c r="C194" s="9"/>
      <c r="D194" s="9"/>
      <c r="E194" s="9"/>
      <c r="F194" s="9"/>
      <c r="G194" s="9"/>
      <c r="H194" s="9"/>
      <c r="I194" s="9"/>
      <c r="J194" s="9"/>
      <c r="K194" s="9"/>
      <c r="L194" s="9"/>
      <c r="M194" s="9"/>
      <c r="N194" s="9"/>
      <c r="O194" s="9"/>
      <c r="P194" s="285"/>
      <c r="Q194" s="167"/>
      <c r="R194" s="167"/>
      <c r="S194" s="167"/>
      <c r="T194" s="167"/>
      <c r="V194" s="82"/>
      <c r="W194" s="167"/>
      <c r="X194" s="167"/>
    </row>
    <row r="195" spans="1:24" ht="15.5">
      <c r="B195" s="83" t="s">
        <v>49</v>
      </c>
      <c r="C195" s="118">
        <v>1728</v>
      </c>
      <c r="D195" s="118">
        <v>2015</v>
      </c>
      <c r="E195" s="169">
        <v>456</v>
      </c>
      <c r="F195" s="169">
        <v>517</v>
      </c>
      <c r="G195" s="169">
        <v>701</v>
      </c>
      <c r="H195" s="169">
        <v>558</v>
      </c>
      <c r="I195" s="118">
        <v>666</v>
      </c>
      <c r="J195" s="118">
        <v>742</v>
      </c>
      <c r="K195" s="118">
        <v>528</v>
      </c>
      <c r="L195" s="118">
        <v>959</v>
      </c>
      <c r="M195" s="169">
        <v>570</v>
      </c>
      <c r="N195" s="169">
        <v>679</v>
      </c>
      <c r="O195" s="169">
        <v>255</v>
      </c>
      <c r="P195" s="286">
        <v>449</v>
      </c>
      <c r="Q195" s="169">
        <v>1009</v>
      </c>
      <c r="R195" s="169">
        <v>1060</v>
      </c>
      <c r="S195" s="169">
        <v>901.42270999999982</v>
      </c>
      <c r="T195" s="169">
        <v>752</v>
      </c>
      <c r="V195" s="83" t="s">
        <v>49</v>
      </c>
      <c r="W195" s="169">
        <v>586.40122999999994</v>
      </c>
      <c r="X195" s="169">
        <f>+[32]EEFF_TE_Per!X195</f>
        <v>209.41186000000016</v>
      </c>
    </row>
    <row r="196" spans="1:24" ht="15.5">
      <c r="B196" s="85" t="s">
        <v>52</v>
      </c>
      <c r="C196" s="120">
        <f>+C193-C195</f>
        <v>6059</v>
      </c>
      <c r="D196" s="120">
        <f t="shared" ref="D196:Q196" si="47">+D193-D195</f>
        <v>6053</v>
      </c>
      <c r="E196" s="120">
        <f t="shared" si="47"/>
        <v>1626</v>
      </c>
      <c r="F196" s="120">
        <f t="shared" si="47"/>
        <v>1828</v>
      </c>
      <c r="G196" s="120">
        <f t="shared" si="47"/>
        <v>1848</v>
      </c>
      <c r="H196" s="120">
        <f t="shared" si="47"/>
        <v>2126</v>
      </c>
      <c r="I196" s="120">
        <f t="shared" si="47"/>
        <v>2344</v>
      </c>
      <c r="J196" s="120">
        <f t="shared" si="47"/>
        <v>2408</v>
      </c>
      <c r="K196" s="120">
        <f t="shared" si="47"/>
        <v>1878</v>
      </c>
      <c r="L196" s="120">
        <f t="shared" si="47"/>
        <v>3464</v>
      </c>
      <c r="M196" s="120">
        <f t="shared" si="47"/>
        <v>2023</v>
      </c>
      <c r="N196" s="120">
        <f t="shared" si="47"/>
        <v>2060</v>
      </c>
      <c r="O196" s="120">
        <v>1346</v>
      </c>
      <c r="P196" s="289">
        <f t="shared" si="47"/>
        <v>3409</v>
      </c>
      <c r="Q196" s="365">
        <f t="shared" si="47"/>
        <v>3577</v>
      </c>
      <c r="R196" s="365">
        <v>3623</v>
      </c>
      <c r="S196" s="365">
        <v>3123.2064399999986</v>
      </c>
      <c r="T196" s="365">
        <f t="shared" ref="T196" si="48">+T193-T195</f>
        <v>2697</v>
      </c>
      <c r="V196" s="85" t="s">
        <v>52</v>
      </c>
      <c r="W196" s="365">
        <f>+W193-W195</f>
        <v>-655.07807000000093</v>
      </c>
      <c r="X196" s="365">
        <f>+[32]EEFF_TE_Per!X196</f>
        <v>3691.3840000000037</v>
      </c>
    </row>
    <row r="197" spans="1:24" ht="15.5">
      <c r="B197" s="142"/>
      <c r="C197" s="151"/>
      <c r="D197" s="151"/>
      <c r="E197" s="151"/>
      <c r="F197" s="151"/>
      <c r="G197" s="151"/>
      <c r="H197" s="151"/>
      <c r="I197" s="151"/>
      <c r="J197" s="151"/>
      <c r="K197" s="151"/>
      <c r="L197" s="151"/>
      <c r="M197" s="151"/>
      <c r="N197" s="151"/>
      <c r="O197" s="151"/>
      <c r="P197" s="287"/>
      <c r="Q197" s="171"/>
      <c r="R197" s="171"/>
      <c r="S197" s="171"/>
    </row>
    <row r="198" spans="1:24" ht="15.5">
      <c r="B198" s="143"/>
      <c r="C198" s="143"/>
      <c r="D198" s="143"/>
      <c r="E198" s="174"/>
      <c r="F198" s="174"/>
      <c r="G198" s="174"/>
      <c r="H198" s="174"/>
      <c r="I198" s="143"/>
      <c r="J198" s="143"/>
      <c r="K198" s="143"/>
      <c r="L198" s="143"/>
      <c r="M198" s="143"/>
      <c r="N198" s="143"/>
      <c r="O198" s="143"/>
      <c r="P198" s="290"/>
      <c r="Q198" s="143"/>
      <c r="R198" s="143"/>
      <c r="S198" s="143"/>
    </row>
    <row r="199" spans="1:24" ht="15.5">
      <c r="A199" s="56" t="s">
        <v>104</v>
      </c>
      <c r="B199" s="12" t="s">
        <v>322</v>
      </c>
      <c r="C199" s="33"/>
      <c r="D199" s="33"/>
      <c r="E199" s="34"/>
      <c r="F199" s="33"/>
      <c r="G199" s="33"/>
      <c r="H199" s="33"/>
      <c r="I199" s="34"/>
      <c r="J199" s="33"/>
      <c r="K199" s="33"/>
      <c r="L199" s="33"/>
      <c r="M199" s="34"/>
      <c r="N199" s="33"/>
      <c r="O199" s="33"/>
      <c r="P199" s="291"/>
      <c r="Q199" s="33"/>
      <c r="R199" s="33"/>
      <c r="S199" s="33"/>
      <c r="V199" s="85" t="s">
        <v>1104</v>
      </c>
      <c r="W199" s="365">
        <v>6728.4679999999998</v>
      </c>
      <c r="X199" s="365">
        <f>+[32]EEFF_TE_Per!X199</f>
        <v>6975.3852700000025</v>
      </c>
    </row>
    <row r="200" spans="1:24" ht="15.5">
      <c r="B200" s="302" t="s">
        <v>18</v>
      </c>
      <c r="C200" s="143"/>
      <c r="D200" s="143"/>
      <c r="E200" s="143"/>
      <c r="F200" s="143"/>
      <c r="G200" s="143"/>
      <c r="H200" s="143"/>
      <c r="I200" s="143"/>
      <c r="J200" s="143"/>
      <c r="K200" s="143"/>
      <c r="L200" s="143"/>
      <c r="M200" s="143"/>
      <c r="N200" s="143"/>
      <c r="O200" s="143"/>
      <c r="P200" s="290"/>
      <c r="Q200" s="143"/>
      <c r="R200" s="143"/>
      <c r="S200" s="143"/>
    </row>
    <row r="201" spans="1:24" ht="15.5" thickBot="1">
      <c r="B201" s="282"/>
      <c r="C201" s="283">
        <v>2016</v>
      </c>
      <c r="D201" s="283">
        <v>2017</v>
      </c>
      <c r="E201" s="283" t="s">
        <v>19</v>
      </c>
      <c r="F201" s="283" t="s">
        <v>20</v>
      </c>
      <c r="G201" s="283" t="s">
        <v>21</v>
      </c>
      <c r="H201" s="283" t="s">
        <v>22</v>
      </c>
      <c r="I201" s="283" t="s">
        <v>23</v>
      </c>
      <c r="J201" s="283" t="s">
        <v>24</v>
      </c>
      <c r="K201" s="283" t="s">
        <v>25</v>
      </c>
      <c r="L201" s="283" t="s">
        <v>26</v>
      </c>
      <c r="M201" s="283" t="s">
        <v>27</v>
      </c>
      <c r="N201" s="283" t="s">
        <v>28</v>
      </c>
      <c r="O201" s="283" t="s">
        <v>29</v>
      </c>
      <c r="P201" s="284" t="s">
        <v>722</v>
      </c>
      <c r="Q201" s="283" t="s">
        <v>739</v>
      </c>
      <c r="R201" s="283" t="s">
        <v>912</v>
      </c>
      <c r="S201" s="283" t="s">
        <v>1051</v>
      </c>
      <c r="T201" s="283" t="s">
        <v>1089</v>
      </c>
      <c r="V201" s="282"/>
      <c r="W201" s="283" t="s">
        <v>1109</v>
      </c>
      <c r="X201" s="283" t="s">
        <v>1190</v>
      </c>
    </row>
    <row r="202" spans="1:24" ht="15.5" thickBot="1">
      <c r="B202" s="124" t="s">
        <v>55</v>
      </c>
      <c r="C202" s="125"/>
      <c r="D202" s="125"/>
      <c r="E202" s="125"/>
      <c r="F202" s="125"/>
      <c r="G202" s="125"/>
      <c r="H202" s="125"/>
      <c r="I202" s="125"/>
      <c r="J202" s="125"/>
      <c r="K202" s="125"/>
      <c r="L202" s="125"/>
      <c r="M202" s="125"/>
      <c r="N202" s="125"/>
      <c r="O202" s="125"/>
      <c r="P202" s="292"/>
      <c r="Q202" s="125"/>
      <c r="R202" s="125"/>
      <c r="S202" s="125"/>
      <c r="T202" s="125"/>
      <c r="V202" s="124" t="s">
        <v>55</v>
      </c>
      <c r="W202" s="125"/>
      <c r="X202" s="125"/>
    </row>
    <row r="203" spans="1:24" ht="15.5" thickBot="1">
      <c r="B203" s="126" t="s">
        <v>56</v>
      </c>
      <c r="C203" s="127"/>
      <c r="D203" s="127"/>
      <c r="E203" s="127"/>
      <c r="F203" s="127"/>
      <c r="G203" s="127"/>
      <c r="H203" s="127"/>
      <c r="I203" s="127"/>
      <c r="J203" s="127"/>
      <c r="K203" s="127"/>
      <c r="L203" s="127"/>
      <c r="M203" s="127"/>
      <c r="N203" s="127"/>
      <c r="O203" s="127"/>
      <c r="P203" s="304"/>
      <c r="Q203" s="127"/>
      <c r="R203" s="127"/>
      <c r="S203" s="127"/>
      <c r="T203" s="127"/>
      <c r="V203" s="126" t="s">
        <v>56</v>
      </c>
      <c r="W203" s="127"/>
      <c r="X203" s="127"/>
    </row>
    <row r="204" spans="1:24" ht="16" thickBot="1">
      <c r="B204" s="128" t="s">
        <v>323</v>
      </c>
      <c r="C204" s="117">
        <v>4811.0870000000004</v>
      </c>
      <c r="D204" s="117">
        <v>7632.4707900000003</v>
      </c>
      <c r="E204" s="117">
        <v>2960.3437300000001</v>
      </c>
      <c r="F204" s="117">
        <v>4209.6983300000002</v>
      </c>
      <c r="G204" s="117">
        <v>5845.4695499999998</v>
      </c>
      <c r="H204" s="117">
        <v>6241.0284299999994</v>
      </c>
      <c r="I204" s="117">
        <v>4340.3495800000001</v>
      </c>
      <c r="J204" s="117">
        <v>0</v>
      </c>
      <c r="K204" s="117">
        <v>820.54024000000004</v>
      </c>
      <c r="L204" s="117">
        <v>4524.85167</v>
      </c>
      <c r="M204" s="117">
        <v>6892.5769099999998</v>
      </c>
      <c r="N204" s="117">
        <v>2431.4656600000003</v>
      </c>
      <c r="O204" s="117">
        <v>2740</v>
      </c>
      <c r="P204" s="305">
        <v>1225</v>
      </c>
      <c r="Q204" s="366">
        <v>2886</v>
      </c>
      <c r="R204" s="366">
        <v>2455</v>
      </c>
      <c r="S204" s="366">
        <v>3020.46731</v>
      </c>
      <c r="T204" s="366">
        <v>4206</v>
      </c>
      <c r="V204" s="128" t="s">
        <v>323</v>
      </c>
      <c r="W204" s="366">
        <v>2894.2209700000003</v>
      </c>
      <c r="X204" s="366">
        <f>+[32]EEFF_TE_Per!X204</f>
        <v>7301.9430499999999</v>
      </c>
    </row>
    <row r="205" spans="1:24" ht="16" thickBot="1">
      <c r="B205" s="128" t="s">
        <v>324</v>
      </c>
      <c r="C205" s="117">
        <v>1794.2190000000001</v>
      </c>
      <c r="D205" s="117">
        <v>1689.6590000000001</v>
      </c>
      <c r="E205" s="117">
        <v>1757.05223</v>
      </c>
      <c r="F205" s="117">
        <v>2214.33592</v>
      </c>
      <c r="G205" s="117">
        <v>2150.4177799999998</v>
      </c>
      <c r="H205" s="117">
        <v>2119.5779400000001</v>
      </c>
      <c r="I205" s="117">
        <v>2170.3915000000002</v>
      </c>
      <c r="J205" s="117">
        <v>2461.7483900000002</v>
      </c>
      <c r="K205" s="117">
        <v>1860.9651399999998</v>
      </c>
      <c r="L205" s="117">
        <v>1303.0773200000001</v>
      </c>
      <c r="M205" s="117">
        <v>1222.0773200000001</v>
      </c>
      <c r="N205" s="117">
        <v>1601.5922399999999</v>
      </c>
      <c r="O205" s="117">
        <v>1589</v>
      </c>
      <c r="P205" s="305">
        <v>1419</v>
      </c>
      <c r="Q205" s="366">
        <v>2723</v>
      </c>
      <c r="R205" s="366">
        <v>3414</v>
      </c>
      <c r="S205" s="366">
        <v>3716.7065499999999</v>
      </c>
      <c r="T205" s="366">
        <v>3516</v>
      </c>
      <c r="V205" s="128" t="s">
        <v>324</v>
      </c>
      <c r="W205" s="366">
        <v>4000.8615099999997</v>
      </c>
      <c r="X205" s="366">
        <f>+[32]EEFF_TE_Per!X205</f>
        <v>4444.4146600000004</v>
      </c>
    </row>
    <row r="206" spans="1:24" ht="16" thickBot="1">
      <c r="B206" s="128" t="s">
        <v>325</v>
      </c>
      <c r="C206" s="117">
        <v>1525.7124199999998</v>
      </c>
      <c r="D206" s="117">
        <v>26.759</v>
      </c>
      <c r="E206" s="117">
        <v>1407.26495</v>
      </c>
      <c r="F206" s="117">
        <v>26.091549999999998</v>
      </c>
      <c r="G206" s="117">
        <v>98.800350000000009</v>
      </c>
      <c r="H206" s="117">
        <v>94.047300000000007</v>
      </c>
      <c r="I206" s="117">
        <v>101.66050999999999</v>
      </c>
      <c r="J206" s="117">
        <v>85.848479999999995</v>
      </c>
      <c r="K206" s="117">
        <v>63.200269999999996</v>
      </c>
      <c r="L206" s="117">
        <v>74.429369999999992</v>
      </c>
      <c r="M206" s="117">
        <v>68.628219999999999</v>
      </c>
      <c r="N206" s="117">
        <v>147.84021999999999</v>
      </c>
      <c r="O206" s="117">
        <v>218</v>
      </c>
      <c r="P206" s="305">
        <v>204</v>
      </c>
      <c r="Q206" s="366">
        <v>303</v>
      </c>
      <c r="R206" s="366">
        <v>290</v>
      </c>
      <c r="S206" s="366">
        <v>136.37515999999999</v>
      </c>
      <c r="T206" s="366">
        <v>121</v>
      </c>
      <c r="V206" s="128" t="s">
        <v>325</v>
      </c>
      <c r="W206" s="366">
        <v>125.93649000000001</v>
      </c>
      <c r="X206" s="366">
        <f>+[32]EEFF_TE_Per!X206</f>
        <v>215.61842000000001</v>
      </c>
    </row>
    <row r="207" spans="1:24" ht="16" thickBot="1">
      <c r="B207" s="128" t="s">
        <v>326</v>
      </c>
      <c r="C207" s="117">
        <v>1.4590000000000001</v>
      </c>
      <c r="D207" s="117">
        <v>0</v>
      </c>
      <c r="E207" s="117">
        <v>0.50731000000000004</v>
      </c>
      <c r="F207" s="117">
        <v>0</v>
      </c>
      <c r="G207" s="117">
        <v>0</v>
      </c>
      <c r="H207" s="117">
        <v>0</v>
      </c>
      <c r="I207" s="117">
        <v>0</v>
      </c>
      <c r="J207" s="117">
        <v>5.6841999999999997</v>
      </c>
      <c r="K207" s="117">
        <v>5.1675300000000002</v>
      </c>
      <c r="L207" s="117">
        <v>14.872110000000001</v>
      </c>
      <c r="M207" s="117">
        <v>-3.1183400000000003</v>
      </c>
      <c r="N207" s="117">
        <v>7.8630800000000001</v>
      </c>
      <c r="O207" s="117">
        <v>10</v>
      </c>
      <c r="P207" s="305">
        <v>19</v>
      </c>
      <c r="Q207" s="366">
        <v>3</v>
      </c>
      <c r="R207" s="366">
        <v>2</v>
      </c>
      <c r="S207" s="366">
        <v>8.4405599999999996</v>
      </c>
      <c r="T207" s="366">
        <v>8</v>
      </c>
      <c r="V207" s="128" t="s">
        <v>326</v>
      </c>
      <c r="W207" s="366">
        <v>29.35829</v>
      </c>
      <c r="X207" s="366">
        <f>+[32]EEFF_TE_Per!X207</f>
        <v>0.11179</v>
      </c>
    </row>
    <row r="208" spans="1:24" ht="16" thickBot="1">
      <c r="B208" s="128" t="s">
        <v>282</v>
      </c>
      <c r="C208" s="117">
        <v>1129.095</v>
      </c>
      <c r="D208" s="117">
        <v>1147.7450800000001</v>
      </c>
      <c r="E208" s="117">
        <v>1158.82708</v>
      </c>
      <c r="F208" s="117">
        <v>1204.0717099999999</v>
      </c>
      <c r="G208" s="117">
        <v>1224.7464299999999</v>
      </c>
      <c r="H208" s="117">
        <v>1335.0415600000001</v>
      </c>
      <c r="I208" s="117">
        <v>1327.07656</v>
      </c>
      <c r="J208" s="117">
        <v>1327.07656</v>
      </c>
      <c r="K208" s="117">
        <v>1323.5245300000001</v>
      </c>
      <c r="L208" s="117">
        <v>1204.7401599999998</v>
      </c>
      <c r="M208" s="117">
        <v>1204.7401599999998</v>
      </c>
      <c r="N208" s="117">
        <v>1194.7401599999998</v>
      </c>
      <c r="O208" s="117">
        <v>1195</v>
      </c>
      <c r="P208" s="305">
        <v>1169</v>
      </c>
      <c r="Q208" s="366">
        <v>1569</v>
      </c>
      <c r="R208" s="366">
        <v>1541</v>
      </c>
      <c r="S208" s="366">
        <v>1543.00649</v>
      </c>
      <c r="T208" s="366">
        <v>1830</v>
      </c>
      <c r="V208" s="128" t="s">
        <v>282</v>
      </c>
      <c r="W208" s="366">
        <v>1804.62805</v>
      </c>
      <c r="X208" s="366">
        <f>+[32]EEFF_TE_Per!X208</f>
        <v>1825.3648400000002</v>
      </c>
    </row>
    <row r="209" spans="2:24" ht="16" thickBot="1">
      <c r="B209" s="128" t="s">
        <v>327</v>
      </c>
      <c r="C209" s="117">
        <v>36.016580000000005</v>
      </c>
      <c r="D209" s="117">
        <v>0</v>
      </c>
      <c r="E209" s="117">
        <v>0</v>
      </c>
      <c r="F209" s="117">
        <v>0</v>
      </c>
      <c r="G209" s="117">
        <v>0</v>
      </c>
      <c r="H209" s="117">
        <v>0</v>
      </c>
      <c r="I209" s="117">
        <v>0</v>
      </c>
      <c r="J209" s="117">
        <v>0</v>
      </c>
      <c r="K209" s="117">
        <v>0</v>
      </c>
      <c r="L209" s="117">
        <v>0</v>
      </c>
      <c r="M209" s="117">
        <v>0</v>
      </c>
      <c r="N209" s="117">
        <v>0</v>
      </c>
      <c r="O209" s="117">
        <v>0</v>
      </c>
      <c r="P209" s="305">
        <v>0</v>
      </c>
      <c r="Q209" s="366">
        <v>151</v>
      </c>
      <c r="R209" s="366">
        <v>0</v>
      </c>
      <c r="S209" s="366">
        <v>0</v>
      </c>
      <c r="T209" s="366">
        <v>0</v>
      </c>
      <c r="V209" s="128" t="s">
        <v>327</v>
      </c>
      <c r="W209" s="366">
        <v>0</v>
      </c>
      <c r="X209" s="366">
        <f>+[32]EEFF_TE_Per!X209</f>
        <v>0</v>
      </c>
    </row>
    <row r="210" spans="2:24" ht="16" thickBot="1">
      <c r="B210" s="128" t="s">
        <v>328</v>
      </c>
      <c r="C210" s="117">
        <v>3.9380000000000002</v>
      </c>
      <c r="D210" s="117">
        <v>79.573170000000005</v>
      </c>
      <c r="E210" s="117">
        <v>18.140130000000003</v>
      </c>
      <c r="F210" s="117">
        <v>8.1252899999999997</v>
      </c>
      <c r="G210" s="117">
        <v>189.06744</v>
      </c>
      <c r="H210" s="117">
        <v>155.42836</v>
      </c>
      <c r="I210" s="117">
        <v>122.40894</v>
      </c>
      <c r="J210" s="117">
        <v>81.904800000000009</v>
      </c>
      <c r="K210" s="117">
        <v>42.55077</v>
      </c>
      <c r="L210" s="117">
        <v>35.402749999999997</v>
      </c>
      <c r="M210" s="117">
        <v>187.86411999999999</v>
      </c>
      <c r="N210" s="117">
        <v>145.20313000000002</v>
      </c>
      <c r="O210" s="117">
        <v>97</v>
      </c>
      <c r="P210" s="305">
        <v>117</v>
      </c>
      <c r="Q210" s="366">
        <v>1948</v>
      </c>
      <c r="R210" s="366">
        <v>0</v>
      </c>
      <c r="S210" s="366">
        <v>353.28140000000002</v>
      </c>
      <c r="T210" s="366">
        <v>309</v>
      </c>
      <c r="V210" s="128" t="s">
        <v>328</v>
      </c>
      <c r="W210" s="366">
        <v>168.48071999999999</v>
      </c>
      <c r="X210" s="366">
        <f>+[32]EEFF_TE_Per!X210</f>
        <v>438.09733</v>
      </c>
    </row>
    <row r="211" spans="2:24" ht="16" thickBot="1">
      <c r="B211" s="209" t="s">
        <v>122</v>
      </c>
      <c r="C211" s="110">
        <v>0</v>
      </c>
      <c r="D211" s="110">
        <v>0</v>
      </c>
      <c r="E211" s="110">
        <v>0</v>
      </c>
      <c r="F211" s="110">
        <v>0</v>
      </c>
      <c r="G211" s="110">
        <v>0</v>
      </c>
      <c r="H211" s="110">
        <v>0</v>
      </c>
      <c r="I211" s="110">
        <v>0</v>
      </c>
      <c r="J211" s="110">
        <v>0</v>
      </c>
      <c r="K211" s="110">
        <v>0</v>
      </c>
      <c r="L211" s="110">
        <v>0</v>
      </c>
      <c r="M211" s="110">
        <v>0</v>
      </c>
      <c r="N211" s="110">
        <v>0</v>
      </c>
      <c r="O211" s="110">
        <v>0</v>
      </c>
      <c r="P211" s="306">
        <v>3342</v>
      </c>
      <c r="Q211" s="367">
        <v>113</v>
      </c>
      <c r="R211" s="367">
        <v>72</v>
      </c>
      <c r="S211" s="367">
        <v>0</v>
      </c>
      <c r="T211" s="367">
        <v>0</v>
      </c>
      <c r="V211" s="209" t="s">
        <v>122</v>
      </c>
      <c r="W211" s="367">
        <v>0</v>
      </c>
      <c r="X211" s="367">
        <f>+[32]EEFF_TE_Per!X211</f>
        <v>0</v>
      </c>
    </row>
    <row r="212" spans="2:24" ht="15.5" thickBot="1">
      <c r="B212" s="175" t="s">
        <v>63</v>
      </c>
      <c r="C212" s="153">
        <f>+SUM(C204:C211)</f>
        <v>9301.527</v>
      </c>
      <c r="D212" s="153">
        <f t="shared" ref="D212:R212" si="49">+SUM(D204:D211)</f>
        <v>10576.207040000001</v>
      </c>
      <c r="E212" s="153">
        <f t="shared" si="49"/>
        <v>7302.1354299999994</v>
      </c>
      <c r="F212" s="153">
        <f t="shared" si="49"/>
        <v>7662.3228000000008</v>
      </c>
      <c r="G212" s="153">
        <f t="shared" si="49"/>
        <v>9508.5015500000009</v>
      </c>
      <c r="H212" s="153">
        <f t="shared" si="49"/>
        <v>9945.1235899999992</v>
      </c>
      <c r="I212" s="153">
        <f t="shared" si="49"/>
        <v>8061.8870899999993</v>
      </c>
      <c r="J212" s="153">
        <f t="shared" si="49"/>
        <v>3962.2624300000002</v>
      </c>
      <c r="K212" s="153">
        <f t="shared" si="49"/>
        <v>4115.94848</v>
      </c>
      <c r="L212" s="153">
        <f t="shared" si="49"/>
        <v>7157.37338</v>
      </c>
      <c r="M212" s="153">
        <f t="shared" si="49"/>
        <v>9572.7683899999993</v>
      </c>
      <c r="N212" s="153">
        <f t="shared" si="49"/>
        <v>5528.7044900000001</v>
      </c>
      <c r="O212" s="153">
        <f t="shared" si="49"/>
        <v>5849</v>
      </c>
      <c r="P212" s="153">
        <f t="shared" si="49"/>
        <v>7495</v>
      </c>
      <c r="Q212" s="153">
        <f t="shared" si="49"/>
        <v>9696</v>
      </c>
      <c r="R212" s="153">
        <f t="shared" si="49"/>
        <v>7774</v>
      </c>
      <c r="S212" s="153">
        <v>8778.2774699999991</v>
      </c>
      <c r="T212" s="153">
        <f>SUM(T204:T211)</f>
        <v>9990</v>
      </c>
      <c r="V212" s="175" t="s">
        <v>63</v>
      </c>
      <c r="W212" s="153">
        <v>9023.48603</v>
      </c>
      <c r="X212" s="153">
        <f>+[32]EEFF_TE_Per!X212</f>
        <v>14225.550090000002</v>
      </c>
    </row>
    <row r="213" spans="2:24" ht="15.5" thickBot="1">
      <c r="B213" s="176" t="s">
        <v>64</v>
      </c>
      <c r="C213" s="152"/>
      <c r="D213" s="152"/>
      <c r="E213" s="152"/>
      <c r="F213" s="152"/>
      <c r="G213" s="152"/>
      <c r="H213" s="152"/>
      <c r="I213" s="152"/>
      <c r="J213" s="152"/>
      <c r="K213" s="152"/>
      <c r="L213" s="152"/>
      <c r="M213" s="152"/>
      <c r="N213" s="152"/>
      <c r="O213" s="152"/>
      <c r="P213" s="293"/>
      <c r="Q213" s="152"/>
      <c r="R213" s="152"/>
      <c r="S213" s="152"/>
      <c r="T213" s="152"/>
      <c r="V213" s="176" t="s">
        <v>64</v>
      </c>
      <c r="W213" s="152"/>
      <c r="X213" s="152"/>
    </row>
    <row r="214" spans="2:24" ht="16" thickBot="1">
      <c r="B214" s="128" t="s">
        <v>329</v>
      </c>
      <c r="C214" s="117"/>
      <c r="D214" s="117"/>
      <c r="E214" s="117"/>
      <c r="F214" s="117"/>
      <c r="G214" s="117"/>
      <c r="H214" s="117"/>
      <c r="I214" s="117"/>
      <c r="J214" s="117"/>
      <c r="K214" s="117"/>
      <c r="L214" s="117">
        <v>0</v>
      </c>
      <c r="M214" s="117">
        <v>0</v>
      </c>
      <c r="N214" s="177">
        <v>0</v>
      </c>
      <c r="O214" s="177">
        <v>0</v>
      </c>
      <c r="P214" s="307">
        <v>0</v>
      </c>
      <c r="Q214" s="368">
        <v>0</v>
      </c>
      <c r="R214" s="368">
        <v>0</v>
      </c>
      <c r="S214" s="368">
        <v>0</v>
      </c>
      <c r="T214" s="368">
        <v>0</v>
      </c>
      <c r="V214" s="128" t="s">
        <v>329</v>
      </c>
      <c r="W214" s="368">
        <v>0</v>
      </c>
      <c r="X214" s="368">
        <f>+[32]EEFF_TE_Per!X214</f>
        <v>0</v>
      </c>
    </row>
    <row r="215" spans="2:24" s="42" customFormat="1" ht="16" thickBot="1">
      <c r="B215" s="194" t="s">
        <v>330</v>
      </c>
      <c r="C215" s="195">
        <v>703</v>
      </c>
      <c r="D215" s="195">
        <v>223766</v>
      </c>
      <c r="E215" s="195">
        <v>178545</v>
      </c>
      <c r="F215" s="195">
        <v>169563</v>
      </c>
      <c r="G215" s="195">
        <v>170979</v>
      </c>
      <c r="H215" s="195">
        <v>144942</v>
      </c>
      <c r="I215" s="195">
        <v>134420</v>
      </c>
      <c r="J215" s="195">
        <v>123710</v>
      </c>
      <c r="K215" s="195">
        <v>100456</v>
      </c>
      <c r="L215" s="195">
        <v>133484</v>
      </c>
      <c r="M215" s="195">
        <v>129849</v>
      </c>
      <c r="N215" s="195">
        <v>162269</v>
      </c>
      <c r="O215" s="195">
        <v>158463</v>
      </c>
      <c r="P215" s="581">
        <v>160069</v>
      </c>
      <c r="Q215" s="195">
        <v>0</v>
      </c>
      <c r="R215" s="195">
        <v>0</v>
      </c>
      <c r="S215" s="195">
        <v>0.16400000000000001</v>
      </c>
      <c r="T215" s="622"/>
      <c r="V215" s="194" t="s">
        <v>330</v>
      </c>
      <c r="W215" s="622">
        <v>0.17399999999999999</v>
      </c>
      <c r="X215" s="622">
        <f>+[32]EEFF_TE_Per!X215</f>
        <v>0</v>
      </c>
    </row>
    <row r="216" spans="2:24" ht="16" thickBot="1">
      <c r="B216" s="128" t="s">
        <v>331</v>
      </c>
      <c r="C216" s="117">
        <v>49.704000000000001</v>
      </c>
      <c r="D216" s="117">
        <v>47.05189</v>
      </c>
      <c r="E216" s="117">
        <v>46.38879</v>
      </c>
      <c r="F216" s="117">
        <v>45.725699999999996</v>
      </c>
      <c r="G216" s="117">
        <v>45.062609999999999</v>
      </c>
      <c r="H216" s="117">
        <v>44.399519999999995</v>
      </c>
      <c r="I216" s="117">
        <v>43.736419999999995</v>
      </c>
      <c r="J216" s="117">
        <v>43.073329999999999</v>
      </c>
      <c r="K216" s="117">
        <v>42.410239999999995</v>
      </c>
      <c r="L216" s="117">
        <v>52.997150000000005</v>
      </c>
      <c r="M216" s="117">
        <v>52.334050000000005</v>
      </c>
      <c r="N216" s="117">
        <v>51.670960000000001</v>
      </c>
      <c r="O216" s="117">
        <v>51</v>
      </c>
      <c r="P216" s="305">
        <v>58</v>
      </c>
      <c r="Q216" s="366">
        <v>21909</v>
      </c>
      <c r="R216" s="366">
        <v>21841</v>
      </c>
      <c r="S216" s="366">
        <v>26252.611390000002</v>
      </c>
      <c r="T216" s="366">
        <v>27167</v>
      </c>
      <c r="V216" s="128" t="s">
        <v>331</v>
      </c>
      <c r="W216" s="366">
        <v>26861.848839999999</v>
      </c>
      <c r="X216" s="366">
        <f>+[32]EEFF_TE_Per!X216</f>
        <v>26530.988289999998</v>
      </c>
    </row>
    <row r="217" spans="2:24" ht="16" thickBot="1">
      <c r="B217" s="128" t="s">
        <v>332</v>
      </c>
      <c r="C217" s="117">
        <v>56040.737999999998</v>
      </c>
      <c r="D217" s="117">
        <v>52615.105539999997</v>
      </c>
      <c r="E217" s="117">
        <v>51750.887499999997</v>
      </c>
      <c r="F217" s="117">
        <v>50886.669439999998</v>
      </c>
      <c r="G217" s="117">
        <v>50022.451420000005</v>
      </c>
      <c r="H217" s="117">
        <v>49158.233390000001</v>
      </c>
      <c r="I217" s="117">
        <v>48294.015350000001</v>
      </c>
      <c r="J217" s="117">
        <v>47425.467840000005</v>
      </c>
      <c r="K217" s="117">
        <v>46561.30833</v>
      </c>
      <c r="L217" s="117">
        <v>47570.886610000001</v>
      </c>
      <c r="M217" s="117">
        <v>46841.211670000004</v>
      </c>
      <c r="N217" s="117">
        <v>46111.537020000003</v>
      </c>
      <c r="O217" s="117">
        <v>45382</v>
      </c>
      <c r="P217" s="305">
        <v>44652</v>
      </c>
      <c r="Q217" s="366">
        <v>219568</v>
      </c>
      <c r="R217" s="366">
        <v>218871</v>
      </c>
      <c r="S217" s="366">
        <v>205646.01025999998</v>
      </c>
      <c r="T217" s="366">
        <v>204551</v>
      </c>
      <c r="V217" s="128" t="s">
        <v>332</v>
      </c>
      <c r="W217" s="366">
        <v>203849.75691999999</v>
      </c>
      <c r="X217" s="366">
        <f>+[32]EEFF_TE_Per!X217</f>
        <v>203148.78128</v>
      </c>
    </row>
    <row r="218" spans="2:24" ht="16" thickBot="1">
      <c r="B218" s="128" t="s">
        <v>333</v>
      </c>
      <c r="C218" s="117">
        <v>871.41300000000001</v>
      </c>
      <c r="D218" s="117">
        <v>535.50527</v>
      </c>
      <c r="E218" s="117">
        <v>565.4166899999999</v>
      </c>
      <c r="F218" s="117">
        <v>744.12060999999994</v>
      </c>
      <c r="G218" s="117">
        <v>636.98600999999996</v>
      </c>
      <c r="H218" s="117">
        <v>645.24162000000001</v>
      </c>
      <c r="I218" s="117">
        <v>652.8723</v>
      </c>
      <c r="J218" s="117">
        <v>653.57219999999995</v>
      </c>
      <c r="K218" s="117">
        <v>602.31506000000002</v>
      </c>
      <c r="L218" s="117">
        <v>228.29979999999998</v>
      </c>
      <c r="M218" s="117">
        <v>237.64404999999999</v>
      </c>
      <c r="N218" s="117">
        <v>233.39692000000002</v>
      </c>
      <c r="O218" s="117">
        <v>347</v>
      </c>
      <c r="P218" s="305">
        <v>278</v>
      </c>
      <c r="Q218" s="366">
        <v>288</v>
      </c>
      <c r="R218" s="366">
        <v>291</v>
      </c>
      <c r="S218" s="366">
        <v>230.43534</v>
      </c>
      <c r="T218" s="366">
        <v>137</v>
      </c>
      <c r="V218" s="128" t="s">
        <v>333</v>
      </c>
      <c r="W218" s="366">
        <v>569.55511999999999</v>
      </c>
      <c r="X218" s="366">
        <f>+[32]EEFF_TE_Per!X218</f>
        <v>6086.61247</v>
      </c>
    </row>
    <row r="219" spans="2:24" ht="15.5" thickBot="1">
      <c r="B219" s="126" t="s">
        <v>77</v>
      </c>
      <c r="C219" s="131">
        <f>+SUM(C215:C218)</f>
        <v>57664.854999999996</v>
      </c>
      <c r="D219" s="131">
        <f t="shared" ref="D219:R219" si="50">+SUM(D215:D218)</f>
        <v>276963.66270000004</v>
      </c>
      <c r="E219" s="131">
        <f t="shared" si="50"/>
        <v>230907.69298000002</v>
      </c>
      <c r="F219" s="131">
        <f t="shared" si="50"/>
        <v>221239.51575000002</v>
      </c>
      <c r="G219" s="131">
        <f t="shared" si="50"/>
        <v>221683.50003999998</v>
      </c>
      <c r="H219" s="131">
        <f t="shared" si="50"/>
        <v>194789.87453</v>
      </c>
      <c r="I219" s="131">
        <f t="shared" si="50"/>
        <v>183410.62406999999</v>
      </c>
      <c r="J219" s="131">
        <f t="shared" si="50"/>
        <v>171832.11337000001</v>
      </c>
      <c r="K219" s="131">
        <f t="shared" si="50"/>
        <v>147662.03362999999</v>
      </c>
      <c r="L219" s="131">
        <f t="shared" si="50"/>
        <v>181336.18356</v>
      </c>
      <c r="M219" s="131">
        <f t="shared" si="50"/>
        <v>176980.18977</v>
      </c>
      <c r="N219" s="131">
        <f t="shared" si="50"/>
        <v>208665.60490000001</v>
      </c>
      <c r="O219" s="131">
        <f t="shared" si="50"/>
        <v>204243</v>
      </c>
      <c r="P219" s="131">
        <f t="shared" si="50"/>
        <v>205057</v>
      </c>
      <c r="Q219" s="131">
        <f t="shared" si="50"/>
        <v>241765</v>
      </c>
      <c r="R219" s="131">
        <f t="shared" si="50"/>
        <v>241003</v>
      </c>
      <c r="S219" s="131">
        <v>232129.22098999997</v>
      </c>
      <c r="T219" s="131">
        <f t="shared" ref="T219" si="51">SUM(T214:T218)</f>
        <v>231855</v>
      </c>
      <c r="V219" s="126" t="s">
        <v>77</v>
      </c>
      <c r="W219" s="131">
        <v>231281.33487999998</v>
      </c>
      <c r="X219" s="131">
        <f>+[32]EEFF_TE_Per!X219</f>
        <v>235766.38204</v>
      </c>
    </row>
    <row r="220" spans="2:24" ht="15.5" thickBot="1">
      <c r="B220" s="132" t="s">
        <v>78</v>
      </c>
      <c r="C220" s="133">
        <f>+C212+C219</f>
        <v>66966.381999999998</v>
      </c>
      <c r="D220" s="133">
        <f t="shared" ref="D220:R220" si="52">+D212+D219</f>
        <v>287539.86974000005</v>
      </c>
      <c r="E220" s="133">
        <f t="shared" si="52"/>
        <v>238209.82841000002</v>
      </c>
      <c r="F220" s="133">
        <f t="shared" si="52"/>
        <v>228901.83855000001</v>
      </c>
      <c r="G220" s="133">
        <f t="shared" si="52"/>
        <v>231192.00159</v>
      </c>
      <c r="H220" s="133">
        <f t="shared" si="52"/>
        <v>204734.99812</v>
      </c>
      <c r="I220" s="133">
        <f t="shared" si="52"/>
        <v>191472.51115999999</v>
      </c>
      <c r="J220" s="133">
        <f t="shared" si="52"/>
        <v>175794.37580000001</v>
      </c>
      <c r="K220" s="133">
        <f t="shared" si="52"/>
        <v>151777.98210999998</v>
      </c>
      <c r="L220" s="133">
        <f t="shared" si="52"/>
        <v>188493.55694000001</v>
      </c>
      <c r="M220" s="133">
        <f t="shared" si="52"/>
        <v>186552.95816000001</v>
      </c>
      <c r="N220" s="133">
        <f t="shared" si="52"/>
        <v>214194.30939000001</v>
      </c>
      <c r="O220" s="133">
        <f t="shared" si="52"/>
        <v>210092</v>
      </c>
      <c r="P220" s="133">
        <f t="shared" si="52"/>
        <v>212552</v>
      </c>
      <c r="Q220" s="133">
        <f t="shared" si="52"/>
        <v>251461</v>
      </c>
      <c r="R220" s="133">
        <f t="shared" si="52"/>
        <v>248777</v>
      </c>
      <c r="S220" s="133">
        <v>240907.49845999997</v>
      </c>
      <c r="T220" s="133">
        <f t="shared" ref="T220" si="53">+T212+T219</f>
        <v>241845</v>
      </c>
      <c r="V220" s="132" t="s">
        <v>78</v>
      </c>
      <c r="W220" s="133">
        <v>240304.82090999998</v>
      </c>
      <c r="X220" s="133">
        <f>+[32]EEFF_TE_Per!X220</f>
        <v>249991.93213</v>
      </c>
    </row>
    <row r="221" spans="2:24" ht="15.5" thickBot="1">
      <c r="B221" s="134"/>
      <c r="C221" s="135"/>
      <c r="D221" s="135"/>
      <c r="E221" s="135"/>
      <c r="F221" s="135"/>
      <c r="G221" s="135"/>
      <c r="H221" s="135"/>
      <c r="I221" s="135"/>
      <c r="J221" s="135"/>
      <c r="K221" s="135"/>
      <c r="L221" s="135"/>
      <c r="M221" s="135"/>
      <c r="N221" s="156"/>
      <c r="O221" s="156"/>
      <c r="P221" s="297"/>
      <c r="Q221" s="156"/>
      <c r="R221" s="156"/>
      <c r="S221" s="156">
        <v>0</v>
      </c>
      <c r="V221" s="134"/>
    </row>
    <row r="222" spans="2:24" ht="15.5" thickBot="1">
      <c r="B222" s="124" t="s">
        <v>79</v>
      </c>
      <c r="C222" s="136"/>
      <c r="D222" s="136"/>
      <c r="E222" s="136"/>
      <c r="F222" s="136"/>
      <c r="G222" s="136"/>
      <c r="H222" s="136"/>
      <c r="I222" s="136"/>
      <c r="J222" s="136"/>
      <c r="K222" s="136"/>
      <c r="L222" s="136"/>
      <c r="M222" s="136"/>
      <c r="N222" s="136"/>
      <c r="O222" s="136"/>
      <c r="P222" s="309"/>
      <c r="Q222" s="136"/>
      <c r="R222" s="136"/>
      <c r="S222" s="136"/>
      <c r="T222" s="136"/>
      <c r="V222" s="124" t="s">
        <v>79</v>
      </c>
      <c r="W222" s="136"/>
      <c r="X222" s="136"/>
    </row>
    <row r="223" spans="2:24" ht="15.5" thickBot="1">
      <c r="B223" s="126" t="s">
        <v>80</v>
      </c>
      <c r="C223" s="137"/>
      <c r="D223" s="137"/>
      <c r="E223" s="137"/>
      <c r="F223" s="137"/>
      <c r="G223" s="137"/>
      <c r="H223" s="137"/>
      <c r="I223" s="137"/>
      <c r="J223" s="137"/>
      <c r="K223" s="137"/>
      <c r="L223" s="137"/>
      <c r="M223" s="137"/>
      <c r="N223" s="137"/>
      <c r="O223" s="137"/>
      <c r="P223" s="310"/>
      <c r="Q223" s="137"/>
      <c r="R223" s="137"/>
      <c r="S223" s="137"/>
      <c r="T223" s="137"/>
      <c r="V223" s="126" t="s">
        <v>80</v>
      </c>
      <c r="W223" s="137"/>
      <c r="X223" s="137"/>
    </row>
    <row r="224" spans="2:24" ht="16" thickBot="1">
      <c r="B224" s="128" t="s">
        <v>334</v>
      </c>
      <c r="C224" s="117">
        <v>0</v>
      </c>
      <c r="D224" s="117">
        <v>0</v>
      </c>
      <c r="E224" s="117">
        <v>0</v>
      </c>
      <c r="F224" s="117">
        <v>0</v>
      </c>
      <c r="G224" s="117">
        <v>0</v>
      </c>
      <c r="H224" s="117">
        <v>0</v>
      </c>
      <c r="I224" s="117">
        <v>0</v>
      </c>
      <c r="J224" s="117">
        <v>1240.6630500000001</v>
      </c>
      <c r="K224" s="117">
        <v>0</v>
      </c>
      <c r="L224" s="117">
        <v>0</v>
      </c>
      <c r="M224" s="117">
        <v>0</v>
      </c>
      <c r="N224" s="117">
        <v>0</v>
      </c>
      <c r="O224" s="117">
        <v>0</v>
      </c>
      <c r="P224" s="305">
        <v>0</v>
      </c>
      <c r="Q224" s="366">
        <v>0</v>
      </c>
      <c r="R224" s="366">
        <v>0</v>
      </c>
      <c r="S224" s="366">
        <v>0</v>
      </c>
      <c r="T224" s="366">
        <v>0</v>
      </c>
      <c r="V224" s="128" t="s">
        <v>334</v>
      </c>
      <c r="W224" s="366">
        <v>0</v>
      </c>
      <c r="X224" s="366">
        <f>+[32]EEFF_TE_Per!X224</f>
        <v>0</v>
      </c>
    </row>
    <row r="225" spans="2:24" ht="16" thickBot="1">
      <c r="B225" s="128" t="s">
        <v>335</v>
      </c>
      <c r="C225" s="117">
        <v>2089.9720000000002</v>
      </c>
      <c r="D225" s="117">
        <v>262.15836999999999</v>
      </c>
      <c r="E225" s="117">
        <v>100.83333</v>
      </c>
      <c r="F225" s="117">
        <v>104.45219</v>
      </c>
      <c r="G225" s="117">
        <v>107.15575</v>
      </c>
      <c r="H225" s="117">
        <v>127.10474000000001</v>
      </c>
      <c r="I225" s="117">
        <v>115.89825999999999</v>
      </c>
      <c r="J225" s="117">
        <v>52.311879999999995</v>
      </c>
      <c r="K225" s="117">
        <v>111.28141000000001</v>
      </c>
      <c r="L225" s="117">
        <v>227.55151999999998</v>
      </c>
      <c r="M225" s="117">
        <v>247.11226000000002</v>
      </c>
      <c r="N225" s="117">
        <v>121.59957</v>
      </c>
      <c r="O225" s="117">
        <v>389</v>
      </c>
      <c r="P225" s="305">
        <v>479</v>
      </c>
      <c r="Q225" s="366">
        <v>147</v>
      </c>
      <c r="R225" s="366">
        <v>380</v>
      </c>
      <c r="S225" s="366">
        <v>617.20746999999994</v>
      </c>
      <c r="T225" s="366">
        <v>1643</v>
      </c>
      <c r="V225" s="128" t="s">
        <v>335</v>
      </c>
      <c r="W225" s="366">
        <v>332.61834999999996</v>
      </c>
      <c r="X225" s="366">
        <f>+[32]EEFF_TE_Per!X225</f>
        <v>797.42797999999993</v>
      </c>
    </row>
    <row r="226" spans="2:24" ht="16" thickBot="1">
      <c r="B226" s="128" t="s">
        <v>336</v>
      </c>
      <c r="C226" s="117">
        <v>40.892000000000003</v>
      </c>
      <c r="D226" s="117">
        <v>184.137</v>
      </c>
      <c r="E226" s="117">
        <v>1636.48748</v>
      </c>
      <c r="F226" s="117">
        <v>227.46798000000001</v>
      </c>
      <c r="G226" s="117">
        <v>236.20139</v>
      </c>
      <c r="H226" s="117">
        <v>230.71124000000006</v>
      </c>
      <c r="I226" s="117">
        <v>306.72906999999992</v>
      </c>
      <c r="J226" s="117">
        <v>271.56617</v>
      </c>
      <c r="K226" s="117">
        <v>259.90174000000002</v>
      </c>
      <c r="L226" s="117">
        <v>217.59421999999998</v>
      </c>
      <c r="M226" s="117">
        <v>224.76383000000001</v>
      </c>
      <c r="N226" s="117">
        <v>240.35527999999999</v>
      </c>
      <c r="O226" s="117">
        <v>235</v>
      </c>
      <c r="P226" s="305">
        <v>159</v>
      </c>
      <c r="Q226" s="366">
        <v>327</v>
      </c>
      <c r="R226" s="366">
        <v>371</v>
      </c>
      <c r="S226" s="366">
        <v>282.42048999999997</v>
      </c>
      <c r="T226" s="366">
        <v>248</v>
      </c>
      <c r="V226" s="128" t="s">
        <v>336</v>
      </c>
      <c r="W226" s="366">
        <v>0</v>
      </c>
      <c r="X226" s="366">
        <f>+[32]EEFF_TE_Per!X226</f>
        <v>0</v>
      </c>
    </row>
    <row r="227" spans="2:24" ht="16" thickBot="1">
      <c r="B227" s="128" t="s">
        <v>337</v>
      </c>
      <c r="C227" s="117">
        <v>11.651</v>
      </c>
      <c r="D227" s="117">
        <v>0</v>
      </c>
      <c r="E227" s="117">
        <v>17.333490000000001</v>
      </c>
      <c r="F227" s="117">
        <v>3.9153699999999998</v>
      </c>
      <c r="G227" s="117">
        <v>2.7907100000000002</v>
      </c>
      <c r="H227" s="117">
        <v>1.9128800000000001</v>
      </c>
      <c r="I227" s="117">
        <v>3.62263</v>
      </c>
      <c r="J227" s="117">
        <v>0</v>
      </c>
      <c r="K227" s="117">
        <v>0</v>
      </c>
      <c r="L227" s="117">
        <v>0</v>
      </c>
      <c r="M227" s="117">
        <v>0</v>
      </c>
      <c r="N227" s="117">
        <v>0</v>
      </c>
      <c r="O227" s="117">
        <v>0</v>
      </c>
      <c r="P227" s="305">
        <v>0</v>
      </c>
      <c r="Q227" s="366">
        <v>0</v>
      </c>
      <c r="R227" s="366">
        <v>0</v>
      </c>
      <c r="S227" s="366">
        <v>0</v>
      </c>
      <c r="T227" s="366">
        <v>0</v>
      </c>
      <c r="V227" s="128" t="s">
        <v>337</v>
      </c>
      <c r="W227" s="366">
        <v>0</v>
      </c>
      <c r="X227" s="366">
        <f>+[32]EEFF_TE_Per!X227</f>
        <v>0</v>
      </c>
    </row>
    <row r="228" spans="2:24" ht="16" thickBot="1">
      <c r="B228" s="128" t="s">
        <v>338</v>
      </c>
      <c r="C228" s="117">
        <v>483.81599999999997</v>
      </c>
      <c r="D228" s="117">
        <v>399.12099999999998</v>
      </c>
      <c r="E228" s="117">
        <v>325.68234999999999</v>
      </c>
      <c r="F228" s="117">
        <v>317.73381999999992</v>
      </c>
      <c r="G228" s="117">
        <v>310.14509999999996</v>
      </c>
      <c r="H228" s="117">
        <v>49.533729999999984</v>
      </c>
      <c r="I228" s="117">
        <v>20.591940000000061</v>
      </c>
      <c r="J228" s="117">
        <v>24.260960000000079</v>
      </c>
      <c r="K228" s="117">
        <v>27.394239999999932</v>
      </c>
      <c r="L228" s="117">
        <v>38.132859999999987</v>
      </c>
      <c r="M228" s="117">
        <v>38.321949999999951</v>
      </c>
      <c r="N228" s="117">
        <v>44.198779999999914</v>
      </c>
      <c r="O228" s="117">
        <v>-985</v>
      </c>
      <c r="P228" s="305">
        <v>275</v>
      </c>
      <c r="Q228" s="366">
        <v>703</v>
      </c>
      <c r="R228" s="366">
        <v>33</v>
      </c>
      <c r="S228" s="366">
        <v>43.262989999999988</v>
      </c>
      <c r="T228" s="366">
        <v>58</v>
      </c>
      <c r="V228" s="128" t="s">
        <v>338</v>
      </c>
      <c r="W228" s="366">
        <v>0</v>
      </c>
      <c r="X228" s="366">
        <f>+[32]EEFF_TE_Per!X228</f>
        <v>0</v>
      </c>
    </row>
    <row r="229" spans="2:24" ht="16" thickBot="1">
      <c r="B229" s="128" t="s">
        <v>339</v>
      </c>
      <c r="C229" s="117">
        <v>536.35900000000004</v>
      </c>
      <c r="D229" s="117">
        <v>583.25800000000004</v>
      </c>
      <c r="E229" s="117">
        <v>1979.5033199999998</v>
      </c>
      <c r="F229" s="117">
        <v>549.11716999999987</v>
      </c>
      <c r="G229" s="117">
        <v>549.13720000000001</v>
      </c>
      <c r="H229" s="117">
        <v>282.15785000000005</v>
      </c>
      <c r="I229" s="117">
        <v>330.94364000000002</v>
      </c>
      <c r="J229" s="117">
        <v>295.82713000000007</v>
      </c>
      <c r="K229" s="117">
        <v>287.29597999999999</v>
      </c>
      <c r="L229" s="117">
        <v>255.72707999999994</v>
      </c>
      <c r="M229" s="117">
        <v>263.08577999999994</v>
      </c>
      <c r="N229" s="117">
        <v>284.55405999999994</v>
      </c>
      <c r="O229" s="117">
        <v>-750</v>
      </c>
      <c r="P229" s="305">
        <v>435</v>
      </c>
      <c r="Q229" s="366">
        <v>1030</v>
      </c>
      <c r="R229" s="366">
        <v>404</v>
      </c>
      <c r="S229" s="366">
        <v>325.68347999999997</v>
      </c>
      <c r="T229" s="366">
        <v>306</v>
      </c>
      <c r="V229" s="128" t="s">
        <v>339</v>
      </c>
      <c r="W229" s="366">
        <v>406.63369</v>
      </c>
      <c r="X229" s="366">
        <f>+[32]EEFF_TE_Per!X229</f>
        <v>492.72280999999998</v>
      </c>
    </row>
    <row r="230" spans="2:24" ht="16" thickBot="1">
      <c r="B230" s="128" t="s">
        <v>340</v>
      </c>
      <c r="C230" s="117">
        <v>321.90899999999999</v>
      </c>
      <c r="D230" s="117">
        <v>117.44467</v>
      </c>
      <c r="E230" s="117">
        <v>135.73020000000002</v>
      </c>
      <c r="F230" s="117">
        <v>61.590290000000003</v>
      </c>
      <c r="G230" s="117">
        <v>10.50412</v>
      </c>
      <c r="H230" s="117">
        <v>77.913679999999999</v>
      </c>
      <c r="I230" s="117">
        <v>7436.6472800000001</v>
      </c>
      <c r="J230" s="117">
        <v>159.73886999999999</v>
      </c>
      <c r="K230" s="117">
        <v>95.959039999999987</v>
      </c>
      <c r="L230" s="117">
        <v>201.55891</v>
      </c>
      <c r="M230" s="117">
        <v>216.07115999999999</v>
      </c>
      <c r="N230" s="117">
        <v>-4.6391200000000001</v>
      </c>
      <c r="O230" s="117">
        <v>77</v>
      </c>
      <c r="P230" s="305">
        <v>89</v>
      </c>
      <c r="Q230" s="366">
        <v>4276</v>
      </c>
      <c r="R230" s="366">
        <v>4034</v>
      </c>
      <c r="S230" s="366">
        <v>4117.6294900000003</v>
      </c>
      <c r="T230" s="366">
        <v>4371</v>
      </c>
      <c r="V230" s="128" t="s">
        <v>340</v>
      </c>
      <c r="W230" s="366">
        <v>7321.2254000000003</v>
      </c>
      <c r="X230" s="366">
        <f>+[32]EEFF_TE_Per!X230</f>
        <v>7320.7208899999996</v>
      </c>
    </row>
    <row r="231" spans="2:24" ht="16" thickBot="1">
      <c r="B231" s="128" t="s">
        <v>341</v>
      </c>
      <c r="C231" s="117">
        <v>504.51900000000001</v>
      </c>
      <c r="D231" s="117">
        <v>6.6830600000000002</v>
      </c>
      <c r="E231" s="117">
        <v>-13.63313</v>
      </c>
      <c r="F231" s="117">
        <v>219.48492000000002</v>
      </c>
      <c r="G231" s="117">
        <v>288.99624</v>
      </c>
      <c r="H231" s="117">
        <v>348.58605999999997</v>
      </c>
      <c r="I231" s="117">
        <v>445.79001</v>
      </c>
      <c r="J231" s="117">
        <v>359.95370000000003</v>
      </c>
      <c r="K231" s="117">
        <v>251.30396999999999</v>
      </c>
      <c r="L231" s="117">
        <v>312.82451000000003</v>
      </c>
      <c r="M231" s="117">
        <v>311.09944000000002</v>
      </c>
      <c r="N231" s="117">
        <v>248.18477999999999</v>
      </c>
      <c r="O231" s="117">
        <v>50</v>
      </c>
      <c r="P231" s="305">
        <v>-220</v>
      </c>
      <c r="Q231" s="366">
        <v>126</v>
      </c>
      <c r="R231" s="366">
        <v>470</v>
      </c>
      <c r="S231" s="366">
        <v>242.82413</v>
      </c>
      <c r="T231" s="366">
        <v>82</v>
      </c>
      <c r="V231" s="128" t="s">
        <v>341</v>
      </c>
      <c r="W231" s="366">
        <v>-200.40707</v>
      </c>
      <c r="X231" s="366">
        <f>+[32]EEFF_TE_Per!X231</f>
        <v>-513.24081000000001</v>
      </c>
    </row>
    <row r="232" spans="2:24" ht="16" thickBot="1">
      <c r="B232" s="128" t="s">
        <v>342</v>
      </c>
      <c r="C232" s="117">
        <v>685.7</v>
      </c>
      <c r="D232" s="117">
        <v>210.16800000000001</v>
      </c>
      <c r="E232" s="117">
        <v>232.7165</v>
      </c>
      <c r="F232" s="117">
        <v>268.33249999999998</v>
      </c>
      <c r="G232" s="117">
        <v>250.88574</v>
      </c>
      <c r="H232" s="117">
        <v>627.00434999999993</v>
      </c>
      <c r="I232" s="117">
        <v>572.33484999999996</v>
      </c>
      <c r="J232" s="117">
        <v>560.98996</v>
      </c>
      <c r="K232" s="117">
        <v>519.61709000000008</v>
      </c>
      <c r="L232" s="117">
        <v>713.46316999999999</v>
      </c>
      <c r="M232" s="117">
        <v>720.11279000000002</v>
      </c>
      <c r="N232" s="117">
        <v>720.47079000000008</v>
      </c>
      <c r="O232" s="117">
        <v>728</v>
      </c>
      <c r="P232" s="305">
        <v>704</v>
      </c>
      <c r="Q232" s="366">
        <v>88</v>
      </c>
      <c r="R232" s="366">
        <v>752</v>
      </c>
      <c r="S232" s="366">
        <v>814.90105000000005</v>
      </c>
      <c r="T232" s="366">
        <v>827</v>
      </c>
      <c r="V232" s="128" t="s">
        <v>342</v>
      </c>
      <c r="W232" s="366">
        <v>864.25709999999992</v>
      </c>
      <c r="X232" s="366">
        <f>+[32]EEFF_TE_Per!X232</f>
        <v>882.00382999999999</v>
      </c>
    </row>
    <row r="233" spans="2:24" ht="16" thickBot="1">
      <c r="B233" s="128" t="s">
        <v>343</v>
      </c>
      <c r="C233" s="117">
        <v>0</v>
      </c>
      <c r="D233" s="117">
        <v>5688.2420000000002</v>
      </c>
      <c r="E233" s="117">
        <v>9758.3232100000005</v>
      </c>
      <c r="F233" s="117">
        <v>9829.2682599999989</v>
      </c>
      <c r="G233" s="117">
        <v>8691.7904999999992</v>
      </c>
      <c r="H233" s="117">
        <v>8808.1124799999998</v>
      </c>
      <c r="I233" s="117">
        <v>4867.3505100000002</v>
      </c>
      <c r="J233" s="117">
        <v>4927.3183799999997</v>
      </c>
      <c r="K233" s="117">
        <v>6273.6756599999999</v>
      </c>
      <c r="L233" s="117">
        <v>2378.6024900000002</v>
      </c>
      <c r="M233" s="117">
        <v>2402.5289199999997</v>
      </c>
      <c r="N233" s="117">
        <v>2425.5372400000001</v>
      </c>
      <c r="O233" s="117">
        <v>6449</v>
      </c>
      <c r="P233" s="305">
        <v>5828</v>
      </c>
      <c r="Q233" s="366">
        <v>-654</v>
      </c>
      <c r="R233" s="366">
        <v>-502</v>
      </c>
      <c r="S233" s="366">
        <v>147146.89638999998</v>
      </c>
      <c r="T233" s="366">
        <v>144972</v>
      </c>
      <c r="V233" s="128" t="s">
        <v>343</v>
      </c>
      <c r="W233" s="366">
        <v>150313.49335</v>
      </c>
      <c r="X233" s="366">
        <f>+[32]EEFF_TE_Per!X233</f>
        <v>82852.832139999999</v>
      </c>
    </row>
    <row r="234" spans="2:24" ht="15.5" thickBot="1">
      <c r="B234" s="126" t="s">
        <v>88</v>
      </c>
      <c r="C234" s="131">
        <f>SUM(C224:C233)-SUM(C226:C228)</f>
        <v>4138.4589999999989</v>
      </c>
      <c r="D234" s="131">
        <f t="shared" ref="D234:N234" si="54">SUM(D224:D233)-SUM(D226:D228)</f>
        <v>6867.9541000000008</v>
      </c>
      <c r="E234" s="131">
        <f t="shared" si="54"/>
        <v>12193.47343</v>
      </c>
      <c r="F234" s="131">
        <f t="shared" si="54"/>
        <v>11032.24533</v>
      </c>
      <c r="G234" s="131">
        <f t="shared" si="54"/>
        <v>9898.4695499999998</v>
      </c>
      <c r="H234" s="131">
        <f t="shared" si="54"/>
        <v>10270.87916</v>
      </c>
      <c r="I234" s="131">
        <f t="shared" si="54"/>
        <v>13768.964550000001</v>
      </c>
      <c r="J234" s="131">
        <f t="shared" si="54"/>
        <v>7596.8029700000006</v>
      </c>
      <c r="K234" s="131">
        <f t="shared" si="54"/>
        <v>7539.1331500000006</v>
      </c>
      <c r="L234" s="131">
        <f t="shared" si="54"/>
        <v>4089.7276800000004</v>
      </c>
      <c r="M234" s="131">
        <f t="shared" si="54"/>
        <v>4160.0103499999996</v>
      </c>
      <c r="N234" s="131">
        <f t="shared" si="54"/>
        <v>3795.70732</v>
      </c>
      <c r="O234" s="131">
        <v>6943</v>
      </c>
      <c r="P234" s="308">
        <f>SUM(P224:P233)-SUM(P226:P228)</f>
        <v>7315</v>
      </c>
      <c r="Q234" s="131">
        <f t="shared" ref="Q234" si="55">SUM(Q224:Q233)-SUM(Q226:Q228)</f>
        <v>5013</v>
      </c>
      <c r="R234" s="131">
        <v>5538</v>
      </c>
      <c r="S234" s="131">
        <v>153265.14200999998</v>
      </c>
      <c r="T234" s="131">
        <f t="shared" ref="T234" si="56">SUM(T224:T233)-SUM(T226:T228)</f>
        <v>152201</v>
      </c>
      <c r="V234" s="126" t="s">
        <v>88</v>
      </c>
      <c r="W234" s="131">
        <v>159037.82081999999</v>
      </c>
      <c r="X234" s="131">
        <f>+[32]EEFF_TE_Per!X234</f>
        <v>91832.466839999994</v>
      </c>
    </row>
    <row r="235" spans="2:24" ht="15.5" thickBot="1">
      <c r="B235" s="138" t="s">
        <v>89</v>
      </c>
      <c r="C235" s="139"/>
      <c r="D235" s="139"/>
      <c r="E235" s="139"/>
      <c r="F235" s="139"/>
      <c r="G235" s="139"/>
      <c r="H235" s="139"/>
      <c r="I235" s="139"/>
      <c r="J235" s="139"/>
      <c r="K235" s="139"/>
      <c r="L235" s="139"/>
      <c r="M235" s="139"/>
      <c r="N235" s="159"/>
      <c r="O235" s="159"/>
      <c r="P235" s="300"/>
      <c r="Q235" s="159"/>
      <c r="R235" s="159"/>
      <c r="S235" s="159"/>
      <c r="T235" s="159"/>
      <c r="V235" s="138" t="s">
        <v>89</v>
      </c>
      <c r="W235" s="159"/>
      <c r="X235" s="159"/>
    </row>
    <row r="236" spans="2:24" ht="16" thickBot="1">
      <c r="B236" s="128" t="s">
        <v>342</v>
      </c>
      <c r="C236" s="117">
        <v>1300.029</v>
      </c>
      <c r="D236" s="118">
        <v>16972.439999999999</v>
      </c>
      <c r="E236" s="118">
        <v>18448.233100000001</v>
      </c>
      <c r="F236" s="118">
        <v>20024.345600000001</v>
      </c>
      <c r="G236" s="118">
        <v>21350.256099999999</v>
      </c>
      <c r="H236" s="118">
        <v>17650.471999999998</v>
      </c>
      <c r="I236" s="118">
        <v>18319.892</v>
      </c>
      <c r="J236" s="118">
        <v>18589.962</v>
      </c>
      <c r="K236" s="118">
        <v>18135.815399999999</v>
      </c>
      <c r="L236" s="118">
        <v>15712.804399999999</v>
      </c>
      <c r="M236" s="118">
        <v>17667.252199999999</v>
      </c>
      <c r="N236" s="118">
        <v>19694.451799999999</v>
      </c>
      <c r="O236" s="177">
        <v>2146</v>
      </c>
      <c r="P236" s="307">
        <v>1921</v>
      </c>
      <c r="Q236" s="368">
        <v>2105</v>
      </c>
      <c r="R236" s="368">
        <v>2274</v>
      </c>
      <c r="S236" s="368">
        <v>2183.8203699999999</v>
      </c>
      <c r="T236" s="368">
        <v>2001</v>
      </c>
      <c r="V236" s="128" t="s">
        <v>342</v>
      </c>
      <c r="W236" s="368">
        <v>2034.1988000000001</v>
      </c>
      <c r="X236" s="368">
        <f>+[32]EEFF_TE_Per!X236</f>
        <v>2116.4412699999998</v>
      </c>
    </row>
    <row r="237" spans="2:24" ht="16" thickBot="1">
      <c r="B237" s="128" t="s">
        <v>344</v>
      </c>
      <c r="C237" s="117">
        <v>28696.924999999999</v>
      </c>
      <c r="D237" s="118">
        <v>230876.02</v>
      </c>
      <c r="E237" s="118">
        <v>179318.913</v>
      </c>
      <c r="F237" s="118">
        <v>167820.40239999999</v>
      </c>
      <c r="G237" s="118">
        <v>168085.82620000001</v>
      </c>
      <c r="H237" s="118">
        <v>142871.17689999999</v>
      </c>
      <c r="I237" s="118">
        <v>130678.82339999999</v>
      </c>
      <c r="J237" s="118">
        <v>118408.2193</v>
      </c>
      <c r="K237" s="118">
        <v>93036.418300000005</v>
      </c>
      <c r="L237" s="118">
        <v>132125.62650000001</v>
      </c>
      <c r="M237" s="118">
        <v>126184.0245</v>
      </c>
      <c r="N237" s="118">
        <v>160084.83660000001</v>
      </c>
      <c r="O237" s="177">
        <v>169504</v>
      </c>
      <c r="P237" s="307">
        <v>168408</v>
      </c>
      <c r="Q237" s="368">
        <v>158000</v>
      </c>
      <c r="R237" s="368">
        <v>151000</v>
      </c>
      <c r="S237" s="368">
        <v>0</v>
      </c>
      <c r="T237" s="368">
        <v>0</v>
      </c>
      <c r="V237" s="128" t="s">
        <v>344</v>
      </c>
      <c r="W237" s="368">
        <v>0</v>
      </c>
      <c r="X237" s="368">
        <f>+[32]EEFF_TE_Per!X237</f>
        <v>65802.00632</v>
      </c>
    </row>
    <row r="238" spans="2:24" ht="19" customHeight="1" thickBot="1">
      <c r="B238" s="128" t="s">
        <v>345</v>
      </c>
      <c r="C238" s="117">
        <v>0</v>
      </c>
      <c r="D238" s="117">
        <v>0</v>
      </c>
      <c r="E238" s="117">
        <v>0</v>
      </c>
      <c r="F238" s="117">
        <v>0</v>
      </c>
      <c r="G238" s="117">
        <v>0</v>
      </c>
      <c r="H238" s="117">
        <v>0</v>
      </c>
      <c r="I238" s="117">
        <v>0</v>
      </c>
      <c r="J238" s="117">
        <v>0</v>
      </c>
      <c r="K238" s="117">
        <v>0</v>
      </c>
      <c r="L238" s="117">
        <v>0</v>
      </c>
      <c r="M238" s="117">
        <v>0</v>
      </c>
      <c r="N238" s="177">
        <v>0</v>
      </c>
      <c r="O238" s="177">
        <v>0</v>
      </c>
      <c r="P238" s="307">
        <v>0</v>
      </c>
      <c r="Q238" s="368">
        <v>0</v>
      </c>
      <c r="R238" s="368">
        <v>0</v>
      </c>
      <c r="S238" s="368">
        <v>123.729</v>
      </c>
      <c r="T238" s="368">
        <v>0</v>
      </c>
      <c r="V238" s="128" t="s">
        <v>345</v>
      </c>
      <c r="W238" s="368">
        <v>371.18700000000001</v>
      </c>
      <c r="X238" s="368">
        <f>+[32]EEFF_TE_Per!X238</f>
        <v>247.458</v>
      </c>
    </row>
    <row r="239" spans="2:24" ht="16" thickBot="1">
      <c r="B239" s="128" t="s">
        <v>346</v>
      </c>
      <c r="C239" s="117">
        <v>0</v>
      </c>
      <c r="D239" s="117">
        <v>0</v>
      </c>
      <c r="E239" s="117">
        <v>0</v>
      </c>
      <c r="F239" s="117">
        <v>0</v>
      </c>
      <c r="G239" s="117">
        <v>0</v>
      </c>
      <c r="H239" s="117">
        <v>0</v>
      </c>
      <c r="I239" s="117">
        <v>0</v>
      </c>
      <c r="J239" s="117">
        <v>0</v>
      </c>
      <c r="K239" s="117">
        <v>0</v>
      </c>
      <c r="L239" s="117">
        <v>0</v>
      </c>
      <c r="M239" s="117">
        <v>0</v>
      </c>
      <c r="N239" s="177">
        <v>0</v>
      </c>
      <c r="O239" s="177">
        <v>0</v>
      </c>
      <c r="P239" s="307">
        <v>0</v>
      </c>
      <c r="Q239" s="368">
        <v>47855</v>
      </c>
      <c r="R239" s="368">
        <v>47855</v>
      </c>
      <c r="S239" s="368">
        <v>40101.012000000002</v>
      </c>
      <c r="T239" s="368">
        <v>39711</v>
      </c>
      <c r="V239" s="128" t="s">
        <v>346</v>
      </c>
      <c r="W239" s="368">
        <v>40182.257509999996</v>
      </c>
      <c r="X239" s="368">
        <f>+[32]EEFF_TE_Per!X239</f>
        <v>45569.374579999996</v>
      </c>
    </row>
    <row r="240" spans="2:24" ht="15.5" thickBot="1">
      <c r="B240" s="126" t="s">
        <v>91</v>
      </c>
      <c r="C240" s="131">
        <f>+SUM(C236:C239)</f>
        <v>29996.953999999998</v>
      </c>
      <c r="D240" s="131">
        <f t="shared" ref="D240:R240" si="57">+SUM(D236:D239)</f>
        <v>247848.46</v>
      </c>
      <c r="E240" s="131">
        <f t="shared" si="57"/>
        <v>197767.14610000001</v>
      </c>
      <c r="F240" s="131">
        <f t="shared" si="57"/>
        <v>187844.74799999999</v>
      </c>
      <c r="G240" s="131">
        <f t="shared" si="57"/>
        <v>189436.08230000001</v>
      </c>
      <c r="H240" s="131">
        <f t="shared" si="57"/>
        <v>160521.6489</v>
      </c>
      <c r="I240" s="131">
        <f t="shared" si="57"/>
        <v>148998.71539999999</v>
      </c>
      <c r="J240" s="131">
        <f t="shared" si="57"/>
        <v>136998.1813</v>
      </c>
      <c r="K240" s="131">
        <f t="shared" si="57"/>
        <v>111172.23370000001</v>
      </c>
      <c r="L240" s="131">
        <f t="shared" si="57"/>
        <v>147838.43090000001</v>
      </c>
      <c r="M240" s="131">
        <f t="shared" si="57"/>
        <v>143851.27669999999</v>
      </c>
      <c r="N240" s="131">
        <f t="shared" si="57"/>
        <v>179779.28840000002</v>
      </c>
      <c r="O240" s="131">
        <f t="shared" si="57"/>
        <v>171650</v>
      </c>
      <c r="P240" s="131">
        <f t="shared" si="57"/>
        <v>170329</v>
      </c>
      <c r="Q240" s="131">
        <f t="shared" si="57"/>
        <v>207960</v>
      </c>
      <c r="R240" s="131">
        <f t="shared" si="57"/>
        <v>201129</v>
      </c>
      <c r="S240" s="131">
        <v>42408.561370000003</v>
      </c>
      <c r="T240" s="154">
        <f t="shared" ref="T240" si="58">SUM(T236:T239)</f>
        <v>41712</v>
      </c>
      <c r="V240" s="126" t="s">
        <v>91</v>
      </c>
      <c r="W240" s="154">
        <v>42587.643309999999</v>
      </c>
      <c r="X240" s="154">
        <f>+[32]EEFF_TE_Per!X240</f>
        <v>113735.28016999998</v>
      </c>
    </row>
    <row r="241" spans="1:24" ht="15.5" thickBot="1">
      <c r="B241" s="132" t="s">
        <v>92</v>
      </c>
      <c r="C241" s="133">
        <f>+C234+C240</f>
        <v>34135.413</v>
      </c>
      <c r="D241" s="133">
        <f t="shared" ref="D241:R241" si="59">+D234+D240</f>
        <v>254716.41409999999</v>
      </c>
      <c r="E241" s="133">
        <f t="shared" si="59"/>
        <v>209960.61953000003</v>
      </c>
      <c r="F241" s="133">
        <f t="shared" si="59"/>
        <v>198876.99333</v>
      </c>
      <c r="G241" s="133">
        <f t="shared" si="59"/>
        <v>199334.55185000002</v>
      </c>
      <c r="H241" s="133">
        <f t="shared" si="59"/>
        <v>170792.52806000001</v>
      </c>
      <c r="I241" s="133">
        <f t="shared" si="59"/>
        <v>162767.67994999999</v>
      </c>
      <c r="J241" s="133">
        <f t="shared" si="59"/>
        <v>144594.98426999999</v>
      </c>
      <c r="K241" s="133">
        <f t="shared" si="59"/>
        <v>118711.36685000001</v>
      </c>
      <c r="L241" s="133">
        <f t="shared" si="59"/>
        <v>151928.15858000002</v>
      </c>
      <c r="M241" s="133">
        <f t="shared" si="59"/>
        <v>148011.28704999998</v>
      </c>
      <c r="N241" s="133">
        <f t="shared" si="59"/>
        <v>183574.99572000001</v>
      </c>
      <c r="O241" s="133">
        <f t="shared" si="59"/>
        <v>178593</v>
      </c>
      <c r="P241" s="133">
        <f t="shared" si="59"/>
        <v>177644</v>
      </c>
      <c r="Q241" s="133">
        <f t="shared" si="59"/>
        <v>212973</v>
      </c>
      <c r="R241" s="133">
        <f t="shared" si="59"/>
        <v>206667</v>
      </c>
      <c r="S241" s="133">
        <v>195673.70337999999</v>
      </c>
      <c r="T241" s="155">
        <f t="shared" ref="T241" si="60">T234+T240</f>
        <v>193913</v>
      </c>
      <c r="V241" s="132" t="s">
        <v>92</v>
      </c>
      <c r="W241" s="155">
        <v>201625.46412999998</v>
      </c>
      <c r="X241" s="155">
        <f>+[32]EEFF_TE_Per!X241</f>
        <v>205567.74700999999</v>
      </c>
    </row>
    <row r="242" spans="1:24" ht="15.5" thickBot="1">
      <c r="B242" s="134"/>
      <c r="C242" s="135"/>
      <c r="D242" s="135"/>
      <c r="E242" s="135"/>
      <c r="F242" s="135"/>
      <c r="G242" s="135"/>
      <c r="H242" s="135"/>
      <c r="I242" s="135"/>
      <c r="J242" s="135"/>
      <c r="K242" s="135"/>
      <c r="L242" s="135"/>
      <c r="M242" s="135"/>
      <c r="N242" s="156"/>
      <c r="O242" s="156"/>
      <c r="P242" s="297"/>
      <c r="Q242" s="156"/>
      <c r="R242" s="156"/>
      <c r="S242" s="156">
        <v>0</v>
      </c>
      <c r="V242" s="134"/>
    </row>
    <row r="243" spans="1:24" ht="15.5" thickBot="1">
      <c r="B243" s="140" t="s">
        <v>93</v>
      </c>
      <c r="C243" s="139"/>
      <c r="D243" s="139"/>
      <c r="E243" s="139"/>
      <c r="F243" s="139"/>
      <c r="G243" s="139"/>
      <c r="H243" s="139"/>
      <c r="I243" s="139"/>
      <c r="J243" s="139"/>
      <c r="K243" s="139"/>
      <c r="L243" s="139"/>
      <c r="M243" s="139"/>
      <c r="N243" s="159"/>
      <c r="O243" s="159"/>
      <c r="P243" s="300"/>
      <c r="Q243" s="159"/>
      <c r="R243" s="159"/>
      <c r="S243" s="159"/>
      <c r="T243" s="159"/>
      <c r="V243" s="140" t="s">
        <v>93</v>
      </c>
      <c r="W243" s="159"/>
      <c r="X243" s="159"/>
    </row>
    <row r="244" spans="1:24" ht="16" thickBot="1">
      <c r="B244" s="128" t="s">
        <v>347</v>
      </c>
      <c r="C244" s="118">
        <v>21658.947609999999</v>
      </c>
      <c r="D244" s="118">
        <v>21658.947609999999</v>
      </c>
      <c r="E244" s="118">
        <v>21658.947609999999</v>
      </c>
      <c r="F244" s="118">
        <v>21658.947609999999</v>
      </c>
      <c r="G244" s="118">
        <v>21658.947609999999</v>
      </c>
      <c r="H244" s="118">
        <v>21658.947609999999</v>
      </c>
      <c r="I244" s="118">
        <v>21658.947609999999</v>
      </c>
      <c r="J244" s="118">
        <v>21658.947609999999</v>
      </c>
      <c r="K244" s="118">
        <v>21658.947609999999</v>
      </c>
      <c r="L244" s="118">
        <v>21658.947609999999</v>
      </c>
      <c r="M244" s="118">
        <v>21658.947609999999</v>
      </c>
      <c r="N244" s="177">
        <f>21658947.61/1000</f>
        <v>21658.947609999999</v>
      </c>
      <c r="O244" s="177">
        <v>21659</v>
      </c>
      <c r="P244" s="307">
        <v>21659</v>
      </c>
      <c r="Q244" s="368">
        <v>21659</v>
      </c>
      <c r="R244" s="368">
        <v>21659</v>
      </c>
      <c r="S244" s="368">
        <v>21658.947609999999</v>
      </c>
      <c r="T244" s="368">
        <v>21658.947609999999</v>
      </c>
      <c r="V244" s="128" t="s">
        <v>347</v>
      </c>
      <c r="W244" s="368">
        <v>21658.947609999999</v>
      </c>
      <c r="X244" s="368">
        <f>+[32]EEFF_TE_Per!X244</f>
        <v>21658.947609999999</v>
      </c>
    </row>
    <row r="245" spans="1:24" ht="16" thickBot="1">
      <c r="B245" s="128" t="s">
        <v>348</v>
      </c>
      <c r="C245" s="118">
        <v>780.92529999999999</v>
      </c>
      <c r="D245" s="118">
        <v>780.92529999999999</v>
      </c>
      <c r="E245" s="118">
        <v>780.92529999999999</v>
      </c>
      <c r="F245" s="118">
        <v>780.92529999999999</v>
      </c>
      <c r="G245" s="118">
        <v>780.92529999999999</v>
      </c>
      <c r="H245" s="118">
        <v>780.92529999999999</v>
      </c>
      <c r="I245" s="118">
        <v>780.92529999999999</v>
      </c>
      <c r="J245" s="118">
        <v>780.92529999999999</v>
      </c>
      <c r="K245" s="118">
        <v>780.92529999999999</v>
      </c>
      <c r="L245" s="118">
        <v>780.92529999999999</v>
      </c>
      <c r="M245" s="118">
        <v>780.92529999999999</v>
      </c>
      <c r="N245" s="118">
        <v>780.92529999999999</v>
      </c>
      <c r="O245" s="177">
        <v>78</v>
      </c>
      <c r="P245" s="307">
        <v>78</v>
      </c>
      <c r="Q245" s="368">
        <v>81</v>
      </c>
      <c r="R245" s="368">
        <v>81</v>
      </c>
      <c r="S245" s="368">
        <v>81.005529999999993</v>
      </c>
      <c r="T245" s="368">
        <v>81.005529999999993</v>
      </c>
      <c r="V245" s="128" t="s">
        <v>348</v>
      </c>
      <c r="W245" s="368">
        <v>81.005529999999993</v>
      </c>
      <c r="X245" s="368">
        <f>+[32]EEFF_TE_Per!X245</f>
        <v>81.005529999999993</v>
      </c>
    </row>
    <row r="246" spans="1:24" ht="16" thickBot="1">
      <c r="B246" s="128" t="s">
        <v>349</v>
      </c>
      <c r="C246" s="118">
        <v>4331.7899800000005</v>
      </c>
      <c r="D246" s="118">
        <v>4331.7899800000005</v>
      </c>
      <c r="E246" s="118">
        <v>4331.7899800000005</v>
      </c>
      <c r="F246" s="118">
        <v>4331.7899800000005</v>
      </c>
      <c r="G246" s="118">
        <v>4331.7899800000005</v>
      </c>
      <c r="H246" s="118">
        <v>4331.7899800000005</v>
      </c>
      <c r="I246" s="118">
        <v>4331.7899800000005</v>
      </c>
      <c r="J246" s="118">
        <v>4331.7899800000005</v>
      </c>
      <c r="K246" s="118">
        <v>4331.7899800000005</v>
      </c>
      <c r="L246" s="118">
        <v>4331.7899800000005</v>
      </c>
      <c r="M246" s="118">
        <v>4331.7899800000005</v>
      </c>
      <c r="N246" s="118">
        <v>4331.7899800000005</v>
      </c>
      <c r="O246" s="177">
        <v>4332</v>
      </c>
      <c r="P246" s="307">
        <v>4332</v>
      </c>
      <c r="Q246" s="368">
        <v>4332</v>
      </c>
      <c r="R246" s="368">
        <v>4332</v>
      </c>
      <c r="S246" s="368">
        <v>4331.7899800000005</v>
      </c>
      <c r="T246" s="368">
        <v>4331.7899800000005</v>
      </c>
      <c r="V246" s="128" t="s">
        <v>349</v>
      </c>
      <c r="W246" s="368">
        <v>4331.7899800000005</v>
      </c>
      <c r="X246" s="368">
        <f>+[32]EEFF_TE_Per!X246</f>
        <v>4331.7899800000005</v>
      </c>
    </row>
    <row r="247" spans="1:24" ht="16" thickBot="1">
      <c r="B247" s="128" t="s">
        <v>350</v>
      </c>
      <c r="C247" s="118">
        <v>6059.3990000000003</v>
      </c>
      <c r="D247" s="118">
        <v>6052.4430000000002</v>
      </c>
      <c r="E247" s="118">
        <v>1626.15625</v>
      </c>
      <c r="F247" s="118">
        <v>3453.6542999999997</v>
      </c>
      <c r="G247" s="118">
        <v>5302.48369</v>
      </c>
      <c r="H247" s="118">
        <v>7401.5309500000003</v>
      </c>
      <c r="I247" s="118">
        <v>2315.2749499999995</v>
      </c>
      <c r="J247" s="118">
        <v>4719.3615799999998</v>
      </c>
      <c r="K247" s="118">
        <v>6597.255470000001</v>
      </c>
      <c r="L247" s="118">
        <v>10067.654049999999</v>
      </c>
      <c r="M247" s="118">
        <v>12090.499020000001</v>
      </c>
      <c r="N247" s="118">
        <v>4083.22111</v>
      </c>
      <c r="O247" s="177">
        <v>5430</v>
      </c>
      <c r="P247" s="307">
        <v>8839</v>
      </c>
      <c r="Q247" s="368">
        <v>12416</v>
      </c>
      <c r="R247" s="368">
        <v>16038</v>
      </c>
      <c r="S247" s="368">
        <v>19162.348959999999</v>
      </c>
      <c r="T247" s="368">
        <v>21860</v>
      </c>
      <c r="V247" s="128" t="s">
        <v>350</v>
      </c>
      <c r="W247" s="368">
        <v>12607.889660000001</v>
      </c>
      <c r="X247" s="368">
        <f>+[32]EEFF_TE_Per!X247</f>
        <v>18352.804</v>
      </c>
    </row>
    <row r="248" spans="1:24" ht="16" thickBot="1">
      <c r="B248" s="128" t="s">
        <v>351</v>
      </c>
      <c r="C248" s="117"/>
      <c r="D248" s="117"/>
      <c r="E248" s="117">
        <v>-148</v>
      </c>
      <c r="F248" s="117">
        <v>-200</v>
      </c>
      <c r="G248" s="117">
        <v>-217</v>
      </c>
      <c r="H248" s="117">
        <v>-231</v>
      </c>
      <c r="I248" s="117">
        <v>-382</v>
      </c>
      <c r="J248" s="117">
        <v>-291</v>
      </c>
      <c r="K248" s="117">
        <v>-302</v>
      </c>
      <c r="L248" s="117">
        <v>-274</v>
      </c>
      <c r="M248" s="117">
        <v>-320</v>
      </c>
      <c r="N248" s="177">
        <v>-236</v>
      </c>
      <c r="O248" s="177">
        <v>0</v>
      </c>
      <c r="P248" s="307">
        <v>0</v>
      </c>
      <c r="Q248" s="368">
        <v>0</v>
      </c>
      <c r="R248" s="368">
        <v>0</v>
      </c>
      <c r="S248" s="368">
        <v>-0.29699999999999999</v>
      </c>
      <c r="T248" s="368"/>
      <c r="V248" s="128" t="s">
        <v>351</v>
      </c>
      <c r="W248" s="368">
        <v>-0.27600000000000002</v>
      </c>
      <c r="X248" s="368">
        <f>+[32]EEFF_TE_Per!X248</f>
        <v>-0.36199999999999999</v>
      </c>
    </row>
    <row r="249" spans="1:24" ht="15.5" thickBot="1">
      <c r="B249" s="126" t="s">
        <v>102</v>
      </c>
      <c r="C249" s="131">
        <f>+SUM(C244:C248)</f>
        <v>32831.061889999997</v>
      </c>
      <c r="D249" s="131">
        <f t="shared" ref="D249:Q249" si="61">+SUM(D244:D248)</f>
        <v>32824.105889999999</v>
      </c>
      <c r="E249" s="131">
        <f t="shared" si="61"/>
        <v>28249.81914</v>
      </c>
      <c r="F249" s="131">
        <f t="shared" si="61"/>
        <v>30025.317189999998</v>
      </c>
      <c r="G249" s="131">
        <f t="shared" si="61"/>
        <v>31857.146580000001</v>
      </c>
      <c r="H249" s="131">
        <f t="shared" si="61"/>
        <v>33942.19384</v>
      </c>
      <c r="I249" s="131">
        <f t="shared" si="61"/>
        <v>28704.937839999999</v>
      </c>
      <c r="J249" s="131">
        <f t="shared" si="61"/>
        <v>31200.02447</v>
      </c>
      <c r="K249" s="131">
        <f t="shared" si="61"/>
        <v>33066.918360000003</v>
      </c>
      <c r="L249" s="131">
        <f t="shared" si="61"/>
        <v>36565.316939999997</v>
      </c>
      <c r="M249" s="131">
        <f t="shared" si="61"/>
        <v>38542.161910000003</v>
      </c>
      <c r="N249" s="131">
        <f t="shared" si="61"/>
        <v>30618.883999999998</v>
      </c>
      <c r="O249" s="131">
        <f t="shared" si="61"/>
        <v>31499</v>
      </c>
      <c r="P249" s="131">
        <f t="shared" si="61"/>
        <v>34908</v>
      </c>
      <c r="Q249" s="131">
        <f t="shared" si="61"/>
        <v>38488</v>
      </c>
      <c r="R249" s="154">
        <v>42110</v>
      </c>
      <c r="S249" s="154">
        <v>45233.795080000004</v>
      </c>
      <c r="T249" s="154">
        <f t="shared" ref="T249" si="62">SUM(T244:T248)</f>
        <v>47931.743119999999</v>
      </c>
      <c r="V249" s="126" t="s">
        <v>102</v>
      </c>
      <c r="W249" s="154">
        <v>38679.356780000002</v>
      </c>
      <c r="X249" s="154">
        <f>+[32]EEFF_TE_Per!X249</f>
        <v>44424.185120000002</v>
      </c>
    </row>
    <row r="250" spans="1:24" ht="15.5" thickBot="1">
      <c r="A250" s="56" t="s">
        <v>104</v>
      </c>
      <c r="B250" s="141" t="s">
        <v>103</v>
      </c>
      <c r="C250" s="133">
        <f>+C241+C249</f>
        <v>66966.474889999998</v>
      </c>
      <c r="D250" s="133">
        <f t="shared" ref="D250:R250" si="63">+D241+D249</f>
        <v>287540.51999</v>
      </c>
      <c r="E250" s="133">
        <f t="shared" si="63"/>
        <v>238210.43867000003</v>
      </c>
      <c r="F250" s="133">
        <f t="shared" si="63"/>
        <v>228902.31052</v>
      </c>
      <c r="G250" s="133">
        <f t="shared" si="63"/>
        <v>231191.69843000002</v>
      </c>
      <c r="H250" s="133">
        <f t="shared" si="63"/>
        <v>204734.7219</v>
      </c>
      <c r="I250" s="133">
        <f t="shared" si="63"/>
        <v>191472.61778999999</v>
      </c>
      <c r="J250" s="133">
        <f t="shared" si="63"/>
        <v>175795.00873999999</v>
      </c>
      <c r="K250" s="133">
        <f t="shared" si="63"/>
        <v>151778.28521</v>
      </c>
      <c r="L250" s="133">
        <f t="shared" si="63"/>
        <v>188493.47552000001</v>
      </c>
      <c r="M250" s="133">
        <f t="shared" si="63"/>
        <v>186553.44895999998</v>
      </c>
      <c r="N250" s="133">
        <f t="shared" si="63"/>
        <v>214193.87972</v>
      </c>
      <c r="O250" s="133">
        <f t="shared" si="63"/>
        <v>210092</v>
      </c>
      <c r="P250" s="133">
        <f t="shared" si="63"/>
        <v>212552</v>
      </c>
      <c r="Q250" s="133">
        <f t="shared" si="63"/>
        <v>251461</v>
      </c>
      <c r="R250" s="133">
        <f t="shared" si="63"/>
        <v>248777</v>
      </c>
      <c r="S250" s="133">
        <v>240907.49846</v>
      </c>
      <c r="T250" s="155">
        <f t="shared" ref="T250" si="64">T241+T249</f>
        <v>241844.74312</v>
      </c>
      <c r="V250" s="141" t="s">
        <v>103</v>
      </c>
      <c r="W250" s="155">
        <v>240304.82090999998</v>
      </c>
      <c r="X250" s="155">
        <f>+[32]EEFF_TE_Per!X250</f>
        <v>249991.93213</v>
      </c>
    </row>
    <row r="251" spans="1:24" s="42" customFormat="1" ht="15.5">
      <c r="B251" s="47"/>
      <c r="C251" s="48"/>
      <c r="D251" s="48"/>
      <c r="E251" s="48"/>
      <c r="F251" s="48"/>
      <c r="G251" s="48"/>
      <c r="H251" s="48"/>
      <c r="I251" s="48"/>
      <c r="J251" s="48"/>
      <c r="K251" s="48"/>
      <c r="L251" s="48"/>
      <c r="M251" s="48"/>
      <c r="N251" s="48"/>
      <c r="O251" s="48">
        <v>0</v>
      </c>
      <c r="P251" s="311"/>
      <c r="R251" s="122">
        <v>0</v>
      </c>
      <c r="S251" s="122"/>
      <c r="V251" s="46"/>
    </row>
    <row r="252" spans="1:24" s="42" customFormat="1" ht="15" thickBot="1">
      <c r="B252" s="49"/>
      <c r="C252" s="542">
        <f>+C220-C241-C249</f>
        <v>-9.2889999999897555E-2</v>
      </c>
      <c r="D252" s="542">
        <f t="shared" ref="D252:Q252" si="65">+D220-D241-D249</f>
        <v>-0.65024999994056998</v>
      </c>
      <c r="E252" s="542">
        <f t="shared" si="65"/>
        <v>-0.61026000000856584</v>
      </c>
      <c r="F252" s="542">
        <f t="shared" si="65"/>
        <v>-0.4719699999805016</v>
      </c>
      <c r="G252" s="542">
        <f t="shared" si="65"/>
        <v>0.30315999998128973</v>
      </c>
      <c r="H252" s="542">
        <f t="shared" si="65"/>
        <v>0.27621999999246327</v>
      </c>
      <c r="I252" s="542">
        <f t="shared" si="65"/>
        <v>-0.10662999999476597</v>
      </c>
      <c r="J252" s="542">
        <f t="shared" si="65"/>
        <v>-0.63293999997767969</v>
      </c>
      <c r="K252" s="542">
        <f t="shared" si="65"/>
        <v>-0.3031000000264612</v>
      </c>
      <c r="L252" s="542">
        <f t="shared" si="65"/>
        <v>8.1419999994977843E-2</v>
      </c>
      <c r="M252" s="542">
        <f t="shared" si="65"/>
        <v>-0.49079999997775303</v>
      </c>
      <c r="N252" s="542">
        <f t="shared" si="65"/>
        <v>0.42967000000498956</v>
      </c>
      <c r="O252" s="542">
        <f t="shared" si="65"/>
        <v>0</v>
      </c>
      <c r="P252" s="542">
        <f t="shared" si="65"/>
        <v>0</v>
      </c>
      <c r="Q252" s="542">
        <f t="shared" si="65"/>
        <v>0</v>
      </c>
      <c r="R252" s="50">
        <v>0</v>
      </c>
      <c r="S252" s="50"/>
      <c r="V252" s="46"/>
    </row>
    <row r="253" spans="1:24" s="42" customFormat="1" ht="15" thickBot="1">
      <c r="B253" s="51"/>
      <c r="C253" s="52"/>
      <c r="D253" s="52"/>
      <c r="E253" s="52"/>
      <c r="F253" s="52"/>
      <c r="G253" s="52"/>
      <c r="H253" s="52"/>
      <c r="I253" s="52"/>
      <c r="J253" s="52"/>
      <c r="K253" s="52"/>
      <c r="L253" s="52"/>
      <c r="M253" s="52"/>
      <c r="N253" s="54"/>
      <c r="V253" s="46"/>
    </row>
    <row r="254" spans="1:24" s="42" customFormat="1">
      <c r="B254" s="53"/>
      <c r="C254" s="53"/>
      <c r="D254" s="53"/>
      <c r="E254" s="53"/>
      <c r="F254" s="53"/>
      <c r="G254" s="53"/>
      <c r="H254" s="53"/>
      <c r="I254" s="53"/>
      <c r="J254" s="53"/>
      <c r="K254" s="53"/>
      <c r="L254" s="53"/>
      <c r="M254" s="53"/>
      <c r="N254" s="53"/>
      <c r="V254" s="46"/>
    </row>
    <row r="255" spans="1:24">
      <c r="B255" s="5"/>
      <c r="C255" s="5"/>
      <c r="D255" s="5"/>
      <c r="E255" s="5"/>
      <c r="F255" s="5"/>
      <c r="G255" s="5"/>
      <c r="H255" s="5"/>
      <c r="I255" s="5"/>
      <c r="J255" s="5"/>
      <c r="K255" s="5"/>
      <c r="L255" s="5"/>
      <c r="M255" s="5"/>
      <c r="N255" s="5"/>
    </row>
    <row r="256" spans="1:24">
      <c r="B256" s="5"/>
      <c r="C256" s="5"/>
      <c r="D256" s="5"/>
      <c r="E256" s="5"/>
      <c r="F256" s="5"/>
      <c r="G256" s="5"/>
      <c r="H256" s="5"/>
      <c r="I256" s="5"/>
      <c r="J256" s="5"/>
      <c r="K256" s="5"/>
      <c r="L256" s="5"/>
      <c r="M256" s="5"/>
      <c r="N256" s="5"/>
    </row>
    <row r="257" spans="2:14">
      <c r="B257" s="5"/>
      <c r="C257" s="5"/>
      <c r="D257" s="5"/>
      <c r="E257" s="5"/>
      <c r="F257" s="5"/>
      <c r="G257" s="5"/>
      <c r="H257" s="5"/>
      <c r="I257" s="5"/>
      <c r="J257" s="5"/>
      <c r="K257" s="5"/>
      <c r="L257" s="5"/>
      <c r="M257" s="5"/>
      <c r="N257" s="5"/>
    </row>
    <row r="258" spans="2:14">
      <c r="B258" s="5"/>
      <c r="C258" s="5"/>
      <c r="D258" s="5"/>
      <c r="E258" s="5"/>
      <c r="F258" s="5"/>
      <c r="G258" s="5"/>
      <c r="H258" s="5"/>
      <c r="I258" s="5"/>
      <c r="J258" s="5"/>
      <c r="K258" s="5"/>
      <c r="L258" s="5"/>
      <c r="M258" s="5"/>
      <c r="N258" s="5"/>
    </row>
    <row r="259" spans="2:14">
      <c r="B259" s="5"/>
      <c r="C259" s="5"/>
      <c r="D259" s="5"/>
      <c r="E259" s="5"/>
      <c r="F259" s="5"/>
      <c r="G259" s="5"/>
      <c r="H259" s="5"/>
      <c r="I259" s="5"/>
      <c r="J259" s="5"/>
      <c r="K259" s="5"/>
      <c r="L259" s="5"/>
      <c r="M259" s="5"/>
      <c r="N259" s="5"/>
    </row>
    <row r="260" spans="2:14">
      <c r="B260" s="5"/>
      <c r="C260" s="5"/>
      <c r="D260" s="5"/>
      <c r="E260" s="5"/>
      <c r="F260" s="5"/>
      <c r="G260" s="5"/>
      <c r="H260" s="5"/>
      <c r="I260" s="5"/>
      <c r="J260" s="5"/>
      <c r="K260" s="5"/>
      <c r="L260" s="5"/>
      <c r="M260" s="5"/>
      <c r="N260" s="5"/>
    </row>
    <row r="261" spans="2:14">
      <c r="B261" s="5"/>
      <c r="C261" s="5"/>
      <c r="D261" s="5"/>
      <c r="E261" s="5"/>
      <c r="F261" s="5"/>
      <c r="G261" s="5"/>
      <c r="H261" s="5"/>
      <c r="I261" s="5"/>
      <c r="J261" s="5"/>
      <c r="K261" s="5"/>
      <c r="L261" s="5"/>
      <c r="M261" s="5"/>
      <c r="N261" s="5"/>
    </row>
    <row r="262" spans="2:14">
      <c r="B262" s="5"/>
      <c r="C262" s="5"/>
      <c r="D262" s="5"/>
      <c r="E262" s="5"/>
      <c r="F262" s="5"/>
      <c r="G262" s="5"/>
      <c r="H262" s="5"/>
      <c r="I262" s="5"/>
      <c r="J262" s="5"/>
      <c r="K262" s="5"/>
      <c r="L262" s="5"/>
      <c r="M262" s="5"/>
      <c r="N262" s="5"/>
    </row>
    <row r="263" spans="2:14">
      <c r="B263" s="5"/>
      <c r="C263" s="5"/>
      <c r="D263" s="5"/>
      <c r="E263" s="5"/>
      <c r="F263" s="5"/>
      <c r="G263" s="5"/>
      <c r="H263" s="5"/>
      <c r="I263" s="5"/>
      <c r="J263" s="5"/>
      <c r="K263" s="5"/>
      <c r="L263" s="5"/>
      <c r="M263" s="5"/>
      <c r="N263" s="5"/>
    </row>
    <row r="264" spans="2:14">
      <c r="B264" s="5"/>
      <c r="C264" s="5"/>
      <c r="D264" s="5"/>
      <c r="E264" s="5"/>
      <c r="F264" s="5"/>
      <c r="G264" s="5"/>
      <c r="H264" s="5"/>
      <c r="I264" s="5"/>
      <c r="J264" s="5"/>
      <c r="K264" s="5"/>
      <c r="L264" s="5"/>
      <c r="M264" s="5"/>
      <c r="N264" s="5"/>
    </row>
    <row r="265" spans="2:14">
      <c r="B265" s="5"/>
      <c r="C265" s="5"/>
      <c r="D265" s="5"/>
      <c r="E265" s="5"/>
      <c r="F265" s="5"/>
      <c r="G265" s="5"/>
      <c r="H265" s="5"/>
      <c r="I265" s="5"/>
      <c r="J265" s="5"/>
      <c r="K265" s="5"/>
      <c r="L265" s="5"/>
      <c r="M265" s="5"/>
      <c r="N265" s="5"/>
    </row>
    <row r="266" spans="2:14">
      <c r="B266" s="5"/>
      <c r="C266" s="5"/>
      <c r="D266" s="5"/>
      <c r="E266" s="5"/>
      <c r="F266" s="5"/>
      <c r="G266" s="5"/>
      <c r="H266" s="5"/>
      <c r="I266" s="5"/>
      <c r="J266" s="5"/>
      <c r="K266" s="5"/>
      <c r="L266" s="5"/>
      <c r="M266" s="5"/>
      <c r="N266" s="5"/>
    </row>
    <row r="267" spans="2:14">
      <c r="B267" s="5"/>
      <c r="C267" s="5"/>
      <c r="D267" s="5"/>
      <c r="E267" s="5"/>
      <c r="F267" s="5"/>
      <c r="G267" s="5"/>
      <c r="H267" s="5"/>
      <c r="I267" s="5"/>
      <c r="J267" s="5"/>
      <c r="K267" s="5"/>
      <c r="L267" s="5"/>
      <c r="M267" s="5"/>
      <c r="N267" s="5"/>
    </row>
    <row r="268" spans="2:14">
      <c r="B268" s="5"/>
      <c r="C268" s="5"/>
      <c r="D268" s="5"/>
      <c r="E268" s="5"/>
      <c r="F268" s="5"/>
      <c r="G268" s="5"/>
      <c r="H268" s="5"/>
      <c r="I268" s="5"/>
      <c r="J268" s="5"/>
      <c r="K268" s="5"/>
      <c r="L268" s="5"/>
      <c r="M268" s="5"/>
      <c r="N268" s="5"/>
    </row>
    <row r="269" spans="2:14">
      <c r="B269" s="5"/>
      <c r="C269" s="5"/>
      <c r="D269" s="5"/>
      <c r="E269" s="5"/>
      <c r="F269" s="5"/>
      <c r="G269" s="5"/>
      <c r="H269" s="5"/>
      <c r="I269" s="5"/>
      <c r="J269" s="5"/>
      <c r="K269" s="5"/>
      <c r="L269" s="5"/>
      <c r="M269" s="5"/>
      <c r="N269" s="5"/>
    </row>
    <row r="270" spans="2:14">
      <c r="B270" s="5"/>
      <c r="C270" s="5"/>
      <c r="D270" s="5"/>
      <c r="E270" s="5"/>
      <c r="F270" s="5"/>
      <c r="G270" s="5"/>
      <c r="H270" s="5"/>
      <c r="I270" s="5"/>
      <c r="J270" s="5"/>
      <c r="K270" s="5"/>
      <c r="L270" s="5"/>
      <c r="M270" s="5"/>
      <c r="N270" s="5"/>
    </row>
    <row r="271" spans="2:14">
      <c r="B271" s="5"/>
      <c r="C271" s="5"/>
      <c r="D271" s="5"/>
      <c r="E271" s="5"/>
      <c r="F271" s="5"/>
      <c r="G271" s="5"/>
      <c r="H271" s="5"/>
      <c r="I271" s="5"/>
      <c r="J271" s="5"/>
      <c r="K271" s="5"/>
      <c r="L271" s="5"/>
      <c r="M271" s="5"/>
      <c r="N271" s="5"/>
    </row>
    <row r="272" spans="2:14">
      <c r="B272" s="5"/>
      <c r="C272" s="5"/>
      <c r="D272" s="5"/>
      <c r="E272" s="5"/>
      <c r="F272" s="5"/>
      <c r="G272" s="5"/>
      <c r="H272" s="5"/>
      <c r="I272" s="5"/>
      <c r="J272" s="5"/>
      <c r="K272" s="5"/>
      <c r="L272" s="5"/>
      <c r="M272" s="5"/>
      <c r="N272" s="5"/>
    </row>
    <row r="273" spans="2:14">
      <c r="B273" s="5"/>
      <c r="C273" s="5"/>
      <c r="D273" s="5"/>
      <c r="E273" s="5"/>
      <c r="F273" s="5"/>
      <c r="G273" s="5"/>
      <c r="H273" s="5"/>
      <c r="I273" s="5"/>
      <c r="J273" s="5"/>
      <c r="K273" s="5"/>
      <c r="L273" s="5"/>
      <c r="M273" s="5"/>
      <c r="N273" s="5"/>
    </row>
    <row r="274" spans="2:14">
      <c r="B274" s="5"/>
      <c r="C274" s="5"/>
      <c r="D274" s="5"/>
      <c r="E274" s="5"/>
      <c r="F274" s="5"/>
      <c r="G274" s="5"/>
      <c r="H274" s="5"/>
      <c r="I274" s="5"/>
      <c r="J274" s="5"/>
      <c r="K274" s="5"/>
      <c r="L274" s="5"/>
      <c r="M274" s="5"/>
      <c r="N274" s="5"/>
    </row>
    <row r="275" spans="2:14">
      <c r="B275" s="5"/>
      <c r="C275" s="5"/>
      <c r="D275" s="5"/>
      <c r="E275" s="5"/>
      <c r="F275" s="5"/>
      <c r="G275" s="5"/>
      <c r="H275" s="5"/>
      <c r="I275" s="5"/>
      <c r="J275" s="5"/>
      <c r="K275" s="5"/>
      <c r="L275" s="5"/>
      <c r="M275" s="5"/>
      <c r="N275" s="5"/>
    </row>
  </sheetData>
  <hyperlinks>
    <hyperlink ref="A1" location="Contenido!A1" display="Volver al Contenido" xr:uid="{31C488C0-9D7F-4F32-BBE5-38F8EE49E7E3}"/>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dimension ref="A1:X88"/>
  <sheetViews>
    <sheetView showGridLines="0" zoomScale="90" zoomScaleNormal="90" workbookViewId="0">
      <pane xSplit="2" ySplit="8" topLeftCell="V24" activePane="bottomRight" state="frozen"/>
      <selection pane="topRight" activeCell="C1" sqref="C1"/>
      <selection pane="bottomLeft" activeCell="A9" sqref="A9"/>
      <selection pane="bottomRight" activeCell="Z76" sqref="Z76"/>
    </sheetView>
  </sheetViews>
  <sheetFormatPr baseColWidth="10" defaultColWidth="11.453125" defaultRowHeight="14.5"/>
  <cols>
    <col min="1" max="1" width="2.81640625" customWidth="1"/>
    <col min="2" max="2" width="64.81640625" customWidth="1"/>
    <col min="15" max="15" width="11.453125" style="46"/>
    <col min="16" max="16" width="13.1796875" customWidth="1"/>
    <col min="18" max="19" width="11.453125" style="46"/>
    <col min="21" max="21" width="5.7265625" customWidth="1"/>
    <col min="22" max="22" width="60.453125" bestFit="1" customWidth="1"/>
    <col min="23" max="23" width="9.1796875" bestFit="1" customWidth="1"/>
    <col min="24" max="24" width="9.1796875" style="46" bestFit="1" customWidth="1"/>
  </cols>
  <sheetData>
    <row r="1" spans="1:24">
      <c r="A1" s="2" t="s">
        <v>16</v>
      </c>
      <c r="B1" s="46"/>
      <c r="C1" s="46"/>
      <c r="D1" s="46"/>
      <c r="E1" s="46"/>
      <c r="F1" s="46"/>
      <c r="G1" s="46"/>
      <c r="H1" s="46"/>
      <c r="I1" s="46"/>
      <c r="J1" s="46"/>
      <c r="K1" s="46"/>
      <c r="L1" s="46"/>
      <c r="M1" s="46"/>
      <c r="N1" s="46"/>
      <c r="P1" s="46"/>
      <c r="Q1" s="46"/>
    </row>
    <row r="3" spans="1:24" ht="15.5">
      <c r="A3" s="143"/>
      <c r="B3" s="62" t="s">
        <v>352</v>
      </c>
      <c r="C3" s="33"/>
      <c r="D3" s="33"/>
      <c r="E3" s="34"/>
      <c r="F3" s="33"/>
      <c r="G3" s="33"/>
      <c r="H3" s="33"/>
      <c r="I3" s="33"/>
      <c r="J3" s="34"/>
      <c r="K3" s="33"/>
      <c r="L3" s="33"/>
      <c r="M3" s="33"/>
      <c r="N3" s="33"/>
      <c r="O3" s="33"/>
      <c r="P3" s="33"/>
      <c r="Q3" s="33"/>
      <c r="R3" s="33"/>
      <c r="S3" s="33"/>
    </row>
    <row r="4" spans="1:24" ht="15.65" customHeight="1">
      <c r="A4" s="143"/>
      <c r="B4" s="165" t="s">
        <v>353</v>
      </c>
      <c r="C4" s="143"/>
      <c r="D4" s="143"/>
      <c r="E4" s="143"/>
      <c r="F4" s="143"/>
      <c r="G4" s="143"/>
      <c r="H4" s="143"/>
      <c r="I4" s="143"/>
      <c r="J4" s="143"/>
      <c r="K4" s="143"/>
      <c r="L4" s="143"/>
      <c r="M4" s="143"/>
      <c r="N4" s="143"/>
      <c r="O4" s="143"/>
      <c r="P4" s="5"/>
      <c r="Q4" s="5"/>
      <c r="R4" s="5"/>
      <c r="S4" s="5"/>
    </row>
    <row r="5" spans="1:24" s="46" customFormat="1" ht="15.65" customHeight="1">
      <c r="A5" s="143"/>
      <c r="B5" s="247"/>
      <c r="C5" s="143"/>
      <c r="D5" s="143"/>
      <c r="E5" s="143"/>
      <c r="F5" s="143"/>
      <c r="G5" s="143"/>
      <c r="H5" s="143"/>
      <c r="I5" s="143"/>
      <c r="J5" s="143"/>
      <c r="K5" s="143"/>
      <c r="L5" s="143"/>
      <c r="M5" s="143"/>
      <c r="N5" s="143"/>
      <c r="O5" s="143"/>
      <c r="P5" s="5"/>
      <c r="Q5" s="5"/>
      <c r="R5" s="5"/>
      <c r="S5" s="5"/>
    </row>
    <row r="6" spans="1:24" ht="15.5">
      <c r="A6" s="143"/>
      <c r="B6" s="35"/>
      <c r="C6" s="35"/>
      <c r="D6" s="35"/>
      <c r="E6" s="35"/>
      <c r="F6" s="35"/>
      <c r="G6" s="35"/>
      <c r="H6" s="35"/>
      <c r="I6" s="35"/>
      <c r="J6" s="35"/>
      <c r="K6" s="35"/>
      <c r="L6" s="35"/>
      <c r="M6" s="35"/>
      <c r="N6" s="35"/>
      <c r="O6" s="35"/>
      <c r="P6" s="35"/>
      <c r="Q6" s="35"/>
      <c r="R6" s="35"/>
      <c r="S6" s="35"/>
    </row>
    <row r="7" spans="1:24" ht="15.5">
      <c r="A7" s="143"/>
      <c r="B7" s="148"/>
      <c r="C7" s="149">
        <v>2016</v>
      </c>
      <c r="D7" s="149">
        <v>2017</v>
      </c>
      <c r="E7" s="149" t="s">
        <v>19</v>
      </c>
      <c r="F7" s="149" t="s">
        <v>20</v>
      </c>
      <c r="G7" s="149" t="s">
        <v>21</v>
      </c>
      <c r="H7" s="149" t="s">
        <v>22</v>
      </c>
      <c r="I7" s="149" t="s">
        <v>23</v>
      </c>
      <c r="J7" s="149" t="s">
        <v>24</v>
      </c>
      <c r="K7" s="149" t="s">
        <v>25</v>
      </c>
      <c r="L7" s="149" t="s">
        <v>26</v>
      </c>
      <c r="M7" s="149" t="s">
        <v>27</v>
      </c>
      <c r="N7" s="149" t="s">
        <v>28</v>
      </c>
      <c r="O7" s="149" t="s">
        <v>29</v>
      </c>
      <c r="P7" s="149" t="s">
        <v>722</v>
      </c>
      <c r="Q7" s="275" t="s">
        <v>739</v>
      </c>
      <c r="R7" s="275" t="s">
        <v>912</v>
      </c>
      <c r="S7" s="275" t="s">
        <v>1051</v>
      </c>
      <c r="T7" s="340" t="s">
        <v>1089</v>
      </c>
      <c r="W7" s="340" t="s">
        <v>1109</v>
      </c>
      <c r="X7" s="340" t="s">
        <v>1190</v>
      </c>
    </row>
    <row r="8" spans="1:24" ht="6" customHeight="1">
      <c r="A8" s="143"/>
      <c r="B8" s="150"/>
      <c r="C8" s="35"/>
      <c r="D8" s="35"/>
      <c r="E8" s="35"/>
      <c r="F8" s="35"/>
      <c r="G8" s="35"/>
      <c r="H8" s="35"/>
      <c r="I8" s="35"/>
      <c r="J8" s="35"/>
      <c r="K8" s="35"/>
      <c r="L8" s="35"/>
      <c r="M8" s="35"/>
      <c r="N8" s="35"/>
      <c r="O8" s="35"/>
      <c r="P8" s="35"/>
      <c r="Q8" s="46"/>
      <c r="T8" s="46"/>
    </row>
    <row r="9" spans="1:24" ht="15.5">
      <c r="A9" s="143"/>
      <c r="B9" s="83" t="s">
        <v>33</v>
      </c>
      <c r="C9" s="118">
        <v>0</v>
      </c>
      <c r="D9" s="118">
        <v>5</v>
      </c>
      <c r="E9" s="118">
        <v>6</v>
      </c>
      <c r="F9" s="118">
        <v>1</v>
      </c>
      <c r="G9" s="118">
        <v>20</v>
      </c>
      <c r="H9" s="118">
        <v>8</v>
      </c>
      <c r="I9" s="118">
        <v>11</v>
      </c>
      <c r="J9" s="118">
        <v>21</v>
      </c>
      <c r="K9" s="118">
        <v>21</v>
      </c>
      <c r="L9" s="118">
        <v>19</v>
      </c>
      <c r="M9" s="118">
        <v>19</v>
      </c>
      <c r="N9" s="118">
        <v>21</v>
      </c>
      <c r="O9" s="118">
        <v>19</v>
      </c>
      <c r="P9" s="118">
        <v>20</v>
      </c>
      <c r="Q9" s="118">
        <v>20</v>
      </c>
      <c r="R9" s="118">
        <v>21</v>
      </c>
      <c r="S9" s="118">
        <v>22</v>
      </c>
      <c r="T9" s="118">
        <v>23</v>
      </c>
      <c r="V9" s="83" t="str">
        <f>+B9</f>
        <v>Ingresos por servicios de transmisión de energía eléctrica</v>
      </c>
      <c r="W9" s="118">
        <v>23</v>
      </c>
      <c r="X9" s="118">
        <f>+'[38]EEFF_TE_Chi (Final)'!X9</f>
        <v>24</v>
      </c>
    </row>
    <row r="10" spans="1:24" ht="15.5">
      <c r="A10" s="143"/>
      <c r="B10" s="83" t="s">
        <v>34</v>
      </c>
      <c r="C10" s="118">
        <v>0</v>
      </c>
      <c r="D10" s="118">
        <v>0</v>
      </c>
      <c r="E10" s="118">
        <v>0</v>
      </c>
      <c r="F10" s="118">
        <v>0</v>
      </c>
      <c r="G10" s="118">
        <v>0</v>
      </c>
      <c r="H10" s="118">
        <v>0</v>
      </c>
      <c r="I10" s="118">
        <v>0</v>
      </c>
      <c r="J10" s="118">
        <v>0</v>
      </c>
      <c r="K10" s="118">
        <v>0</v>
      </c>
      <c r="L10" s="118">
        <v>0</v>
      </c>
      <c r="M10" s="118">
        <v>0</v>
      </c>
      <c r="N10" s="118">
        <v>0</v>
      </c>
      <c r="O10" s="118">
        <v>0</v>
      </c>
      <c r="P10" s="118">
        <v>0</v>
      </c>
      <c r="Q10" s="118"/>
      <c r="R10" s="118">
        <v>0</v>
      </c>
      <c r="S10" s="118">
        <v>0</v>
      </c>
      <c r="T10" s="118">
        <v>0</v>
      </c>
      <c r="V10" s="83" t="str">
        <f t="shared" ref="V10:V12" si="0">+B10</f>
        <v>Ingresos por cargos de conexión</v>
      </c>
      <c r="W10" s="118">
        <v>0</v>
      </c>
      <c r="X10" s="118">
        <f>+'[38]EEFF_TE_Chi (Final)'!X10</f>
        <v>0</v>
      </c>
    </row>
    <row r="11" spans="1:24" ht="15.5">
      <c r="A11" s="143"/>
      <c r="B11" s="83" t="s">
        <v>39</v>
      </c>
      <c r="C11" s="118">
        <v>0</v>
      </c>
      <c r="D11" s="118">
        <v>0</v>
      </c>
      <c r="E11" s="118">
        <v>0</v>
      </c>
      <c r="F11" s="118">
        <v>0</v>
      </c>
      <c r="G11" s="118">
        <v>0</v>
      </c>
      <c r="H11" s="118">
        <v>0</v>
      </c>
      <c r="I11" s="118">
        <v>0</v>
      </c>
      <c r="J11" s="118">
        <v>0</v>
      </c>
      <c r="K11" s="118">
        <v>0</v>
      </c>
      <c r="L11" s="118">
        <v>0</v>
      </c>
      <c r="M11" s="118">
        <v>0</v>
      </c>
      <c r="N11" s="118">
        <v>0</v>
      </c>
      <c r="O11" s="118">
        <v>0</v>
      </c>
      <c r="P11" s="118">
        <v>0</v>
      </c>
      <c r="Q11" s="118"/>
      <c r="R11" s="118">
        <v>0</v>
      </c>
      <c r="S11" s="118">
        <v>0</v>
      </c>
      <c r="T11" s="118">
        <v>0</v>
      </c>
      <c r="V11" s="83" t="str">
        <f t="shared" si="0"/>
        <v>Otros ingresos operacionales</v>
      </c>
      <c r="W11" s="118">
        <v>0</v>
      </c>
      <c r="X11" s="118">
        <f>+'[38]EEFF_TE_Chi (Final)'!X11</f>
        <v>0</v>
      </c>
    </row>
    <row r="12" spans="1:24" ht="15.5">
      <c r="A12" s="143"/>
      <c r="B12" s="83" t="s">
        <v>40</v>
      </c>
      <c r="C12" s="118">
        <v>3</v>
      </c>
      <c r="D12" s="118">
        <v>6</v>
      </c>
      <c r="E12" s="118">
        <v>1</v>
      </c>
      <c r="F12" s="118">
        <v>1</v>
      </c>
      <c r="G12" s="118">
        <v>3</v>
      </c>
      <c r="H12" s="118">
        <v>3</v>
      </c>
      <c r="I12" s="118">
        <v>7</v>
      </c>
      <c r="J12" s="118">
        <v>-2</v>
      </c>
      <c r="K12" s="118">
        <v>2</v>
      </c>
      <c r="L12" s="118">
        <v>3</v>
      </c>
      <c r="M12" s="118">
        <v>2</v>
      </c>
      <c r="N12" s="118">
        <v>2</v>
      </c>
      <c r="O12" s="118">
        <v>3</v>
      </c>
      <c r="P12" s="118">
        <v>3</v>
      </c>
      <c r="Q12" s="118">
        <v>4</v>
      </c>
      <c r="R12" s="118">
        <v>4</v>
      </c>
      <c r="S12" s="118">
        <v>6</v>
      </c>
      <c r="T12" s="118">
        <v>8</v>
      </c>
      <c r="V12" s="83" t="str">
        <f t="shared" si="0"/>
        <v>Costos y gastos AOM</v>
      </c>
      <c r="W12" s="118">
        <v>10</v>
      </c>
      <c r="X12" s="118">
        <f>+'[38]EEFF_TE_Chi (Final)'!X12</f>
        <v>4</v>
      </c>
    </row>
    <row r="13" spans="1:24" ht="15.5">
      <c r="A13" s="143"/>
      <c r="B13" s="85" t="s">
        <v>111</v>
      </c>
      <c r="C13" s="119">
        <v>-3</v>
      </c>
      <c r="D13" s="119">
        <v>-1</v>
      </c>
      <c r="E13" s="119">
        <v>5</v>
      </c>
      <c r="F13" s="119">
        <v>0</v>
      </c>
      <c r="G13" s="119">
        <v>17</v>
      </c>
      <c r="H13" s="119">
        <v>5</v>
      </c>
      <c r="I13" s="119">
        <v>4</v>
      </c>
      <c r="J13" s="119">
        <v>23</v>
      </c>
      <c r="K13" s="119">
        <v>19</v>
      </c>
      <c r="L13" s="119">
        <v>16</v>
      </c>
      <c r="M13" s="119">
        <v>17</v>
      </c>
      <c r="N13" s="119">
        <v>19</v>
      </c>
      <c r="O13" s="119">
        <v>16</v>
      </c>
      <c r="P13" s="119">
        <v>17</v>
      </c>
      <c r="Q13" s="119">
        <v>16</v>
      </c>
      <c r="R13" s="119">
        <v>17</v>
      </c>
      <c r="S13" s="119">
        <v>16</v>
      </c>
      <c r="T13" s="119">
        <v>15</v>
      </c>
      <c r="V13" s="83" t="s">
        <v>43</v>
      </c>
      <c r="W13" s="118">
        <v>10</v>
      </c>
      <c r="X13" s="118">
        <f>+'[38]EEFF_TE_Chi (Final)'!X13</f>
        <v>8</v>
      </c>
    </row>
    <row r="14" spans="1:24" ht="15.5">
      <c r="A14" s="143"/>
      <c r="B14" s="82"/>
      <c r="C14" s="9"/>
      <c r="D14" s="9"/>
      <c r="E14" s="9"/>
      <c r="F14" s="178"/>
      <c r="G14" s="9"/>
      <c r="H14" s="9"/>
      <c r="I14" s="9"/>
      <c r="J14" s="9"/>
      <c r="K14" s="9"/>
      <c r="L14" s="9"/>
      <c r="M14" s="9"/>
      <c r="N14" s="9"/>
      <c r="O14" s="9"/>
      <c r="P14" s="9"/>
      <c r="Q14" s="9"/>
      <c r="R14" s="9"/>
      <c r="S14" s="9"/>
      <c r="T14" s="9"/>
      <c r="V14" s="85" t="s">
        <v>1114</v>
      </c>
      <c r="W14" s="120">
        <v>3</v>
      </c>
      <c r="X14" s="120">
        <f>+'[38]EEFF_TE_Chi (Final)'!X14</f>
        <v>12</v>
      </c>
    </row>
    <row r="15" spans="1:24" ht="15.5">
      <c r="A15" s="143"/>
      <c r="B15" s="83" t="s">
        <v>43</v>
      </c>
      <c r="C15" s="118">
        <v>0</v>
      </c>
      <c r="D15" s="118">
        <v>1</v>
      </c>
      <c r="E15" s="118">
        <v>1</v>
      </c>
      <c r="F15" s="118">
        <v>0</v>
      </c>
      <c r="G15" s="118">
        <v>1</v>
      </c>
      <c r="H15" s="118">
        <v>7</v>
      </c>
      <c r="I15" s="118">
        <v>3</v>
      </c>
      <c r="J15" s="118">
        <v>3</v>
      </c>
      <c r="K15" s="118">
        <v>7</v>
      </c>
      <c r="L15" s="118">
        <v>7</v>
      </c>
      <c r="M15" s="118">
        <v>7</v>
      </c>
      <c r="N15" s="118">
        <v>9</v>
      </c>
      <c r="O15" s="118">
        <v>6</v>
      </c>
      <c r="P15" s="118">
        <v>7</v>
      </c>
      <c r="Q15" s="118">
        <v>7</v>
      </c>
      <c r="R15" s="118">
        <v>8</v>
      </c>
      <c r="S15" s="118">
        <v>9</v>
      </c>
      <c r="T15" s="118">
        <v>8</v>
      </c>
      <c r="W15" s="118"/>
      <c r="X15" s="118">
        <f>+'[38]EEFF_TE_Chi (Final)'!X15</f>
        <v>0</v>
      </c>
    </row>
    <row r="16" spans="1:24" ht="15.5">
      <c r="A16" s="143"/>
      <c r="B16" s="83" t="s">
        <v>44</v>
      </c>
      <c r="C16" s="118">
        <v>0</v>
      </c>
      <c r="D16" s="118">
        <v>0</v>
      </c>
      <c r="E16" s="118">
        <v>0</v>
      </c>
      <c r="F16" s="118">
        <v>0</v>
      </c>
      <c r="G16" s="118">
        <v>0</v>
      </c>
      <c r="H16" s="118">
        <v>0</v>
      </c>
      <c r="I16" s="118">
        <v>0</v>
      </c>
      <c r="J16" s="118">
        <v>0</v>
      </c>
      <c r="K16" s="118">
        <v>0</v>
      </c>
      <c r="L16" s="118">
        <v>0</v>
      </c>
      <c r="M16" s="118">
        <v>0</v>
      </c>
      <c r="N16" s="118">
        <v>0</v>
      </c>
      <c r="O16" s="118">
        <v>0</v>
      </c>
      <c r="P16" s="118">
        <v>0</v>
      </c>
      <c r="Q16" s="118"/>
      <c r="R16" s="118">
        <v>0</v>
      </c>
      <c r="S16" s="118">
        <v>0</v>
      </c>
      <c r="T16" s="118">
        <v>0</v>
      </c>
      <c r="V16" s="83" t="str">
        <f>+B16</f>
        <v>Metodo de participación neto ingreso /(gasto)</v>
      </c>
      <c r="W16" s="118">
        <v>0</v>
      </c>
      <c r="X16" s="118">
        <f>+'[38]EEFF_TE_Chi (Final)'!X16</f>
        <v>0</v>
      </c>
    </row>
    <row r="17" spans="1:24" ht="15.5">
      <c r="A17" s="143"/>
      <c r="B17" s="83" t="s">
        <v>45</v>
      </c>
      <c r="C17" s="118">
        <v>0</v>
      </c>
      <c r="D17" s="118">
        <v>0</v>
      </c>
      <c r="E17" s="118">
        <v>0</v>
      </c>
      <c r="F17" s="118">
        <v>0</v>
      </c>
      <c r="G17" s="118">
        <v>0</v>
      </c>
      <c r="H17" s="118">
        <v>1</v>
      </c>
      <c r="I17" s="118">
        <v>0</v>
      </c>
      <c r="J17" s="118">
        <v>0</v>
      </c>
      <c r="K17" s="118">
        <v>0</v>
      </c>
      <c r="L17" s="118">
        <v>0</v>
      </c>
      <c r="M17" s="118">
        <v>0</v>
      </c>
      <c r="N17" s="118">
        <v>0</v>
      </c>
      <c r="O17" s="118">
        <v>0</v>
      </c>
      <c r="P17" s="118">
        <v>0</v>
      </c>
      <c r="Q17" s="118"/>
      <c r="R17" s="118">
        <v>0</v>
      </c>
      <c r="S17" s="118">
        <v>0</v>
      </c>
      <c r="T17" s="118">
        <v>0</v>
      </c>
      <c r="V17" s="83" t="str">
        <f>+B17</f>
        <v>Otros neto ingreso /(gasto)</v>
      </c>
      <c r="W17" s="118">
        <v>0</v>
      </c>
      <c r="X17" s="118">
        <f>+'[38]EEFF_TE_Chi (Final)'!X17</f>
        <v>0</v>
      </c>
    </row>
    <row r="18" spans="1:24" ht="15.5">
      <c r="A18" s="143"/>
      <c r="B18" s="85" t="s">
        <v>46</v>
      </c>
      <c r="C18" s="120">
        <v>-3</v>
      </c>
      <c r="D18" s="120">
        <v>-2</v>
      </c>
      <c r="E18" s="120">
        <v>4</v>
      </c>
      <c r="F18" s="120">
        <v>0</v>
      </c>
      <c r="G18" s="120">
        <v>16</v>
      </c>
      <c r="H18" s="120">
        <v>-1</v>
      </c>
      <c r="I18" s="120">
        <v>1</v>
      </c>
      <c r="J18" s="120">
        <v>20</v>
      </c>
      <c r="K18" s="120">
        <v>12</v>
      </c>
      <c r="L18" s="120">
        <v>9</v>
      </c>
      <c r="M18" s="120">
        <v>10</v>
      </c>
      <c r="N18" s="120">
        <v>10</v>
      </c>
      <c r="O18" s="120">
        <v>10</v>
      </c>
      <c r="P18" s="120">
        <v>10</v>
      </c>
      <c r="Q18" s="120">
        <v>9</v>
      </c>
      <c r="R18" s="120">
        <v>9</v>
      </c>
      <c r="S18" s="120">
        <v>7</v>
      </c>
      <c r="T18" s="120">
        <v>7</v>
      </c>
      <c r="V18" s="85" t="s">
        <v>46</v>
      </c>
      <c r="W18" s="120">
        <v>3</v>
      </c>
      <c r="X18" s="120">
        <f>+'[38]EEFF_TE_Chi (Final)'!X18</f>
        <v>12</v>
      </c>
    </row>
    <row r="19" spans="1:24" ht="15.5">
      <c r="A19" s="143"/>
      <c r="B19" s="83"/>
      <c r="C19" s="118"/>
      <c r="D19" s="118"/>
      <c r="E19" s="118"/>
      <c r="F19" s="118"/>
      <c r="G19" s="118"/>
      <c r="H19" s="118"/>
      <c r="I19" s="118"/>
      <c r="J19" s="118"/>
      <c r="K19" s="118"/>
      <c r="L19" s="118"/>
      <c r="M19" s="118"/>
      <c r="N19" s="118"/>
      <c r="O19" s="118"/>
      <c r="P19" s="118"/>
      <c r="Q19" s="118"/>
      <c r="R19" s="118">
        <v>0</v>
      </c>
      <c r="S19" s="118">
        <v>0</v>
      </c>
      <c r="T19" s="118">
        <v>0</v>
      </c>
      <c r="W19" s="46"/>
      <c r="X19" s="46">
        <f>+'[38]EEFF_TE_Chi (Final)'!X19</f>
        <v>0</v>
      </c>
    </row>
    <row r="20" spans="1:24" ht="15.5">
      <c r="A20" s="143"/>
      <c r="B20" s="83" t="s">
        <v>47</v>
      </c>
      <c r="C20" s="118">
        <v>6</v>
      </c>
      <c r="D20" s="118">
        <v>-3</v>
      </c>
      <c r="E20" s="118">
        <v>0</v>
      </c>
      <c r="F20" s="118">
        <v>-4</v>
      </c>
      <c r="G20" s="118">
        <v>-2</v>
      </c>
      <c r="H20" s="118">
        <v>-6</v>
      </c>
      <c r="I20" s="118">
        <v>-4</v>
      </c>
      <c r="J20" s="118">
        <v>-7</v>
      </c>
      <c r="K20" s="118">
        <v>-10</v>
      </c>
      <c r="L20" s="118">
        <v>-6</v>
      </c>
      <c r="M20" s="118">
        <v>-12</v>
      </c>
      <c r="N20" s="118">
        <v>-9</v>
      </c>
      <c r="O20" s="118">
        <v>-9</v>
      </c>
      <c r="P20" s="118">
        <v>-6</v>
      </c>
      <c r="Q20" s="118">
        <v>-8</v>
      </c>
      <c r="R20" s="118">
        <v>-8</v>
      </c>
      <c r="S20" s="118">
        <v>-6</v>
      </c>
      <c r="T20" s="118">
        <v>-2</v>
      </c>
      <c r="V20" s="83" t="str">
        <f>+B20</f>
        <v>Financiero neto ingreso/(gasto)</v>
      </c>
      <c r="W20" s="118">
        <v>-2</v>
      </c>
      <c r="X20" s="118">
        <f>+'[38]EEFF_TE_Chi (Final)'!X20</f>
        <v>-19</v>
      </c>
    </row>
    <row r="21" spans="1:24" ht="15.5">
      <c r="A21" s="143"/>
      <c r="B21" s="85" t="s">
        <v>48</v>
      </c>
      <c r="C21" s="120">
        <v>3</v>
      </c>
      <c r="D21" s="120">
        <v>-5</v>
      </c>
      <c r="E21" s="120">
        <v>4</v>
      </c>
      <c r="F21" s="120">
        <v>-4</v>
      </c>
      <c r="G21" s="120">
        <v>14</v>
      </c>
      <c r="H21" s="120">
        <v>-7</v>
      </c>
      <c r="I21" s="120">
        <v>-3</v>
      </c>
      <c r="J21" s="120">
        <v>13</v>
      </c>
      <c r="K21" s="120">
        <v>2</v>
      </c>
      <c r="L21" s="120">
        <v>3</v>
      </c>
      <c r="M21" s="120">
        <v>-2</v>
      </c>
      <c r="N21" s="120">
        <v>1</v>
      </c>
      <c r="O21" s="120">
        <v>1</v>
      </c>
      <c r="P21" s="120">
        <v>4</v>
      </c>
      <c r="Q21" s="120">
        <v>1</v>
      </c>
      <c r="R21" s="120">
        <v>1</v>
      </c>
      <c r="S21" s="120">
        <v>1</v>
      </c>
      <c r="T21" s="120">
        <v>5</v>
      </c>
      <c r="V21" s="85" t="str">
        <f t="shared" ref="V21:V24" si="1">+B21</f>
        <v>Utilidad antes de impuestos</v>
      </c>
      <c r="W21" s="120">
        <v>1</v>
      </c>
      <c r="X21" s="120">
        <f>+'[38]EEFF_TE_Chi (Final)'!X21</f>
        <v>-7</v>
      </c>
    </row>
    <row r="22" spans="1:24" ht="15.5">
      <c r="A22" s="143"/>
      <c r="B22" s="82"/>
      <c r="C22" s="9"/>
      <c r="D22" s="9"/>
      <c r="E22" s="9"/>
      <c r="F22" s="9"/>
      <c r="G22" s="9"/>
      <c r="H22" s="9"/>
      <c r="I22" s="9"/>
      <c r="J22" s="9"/>
      <c r="K22" s="9"/>
      <c r="L22" s="9"/>
      <c r="M22" s="9"/>
      <c r="N22" s="9"/>
      <c r="O22" s="9"/>
      <c r="P22" s="9"/>
      <c r="Q22" s="9"/>
      <c r="R22" s="9"/>
      <c r="S22" s="9"/>
      <c r="T22" s="9"/>
      <c r="V22" s="82"/>
      <c r="W22" s="82"/>
      <c r="X22" s="82">
        <f>+'[38]EEFF_TE_Chi (Final)'!X22</f>
        <v>0</v>
      </c>
    </row>
    <row r="23" spans="1:24" ht="15.5">
      <c r="A23" s="143"/>
      <c r="B23" s="83" t="s">
        <v>49</v>
      </c>
      <c r="C23" s="118">
        <v>1</v>
      </c>
      <c r="D23" s="118">
        <v>-1</v>
      </c>
      <c r="E23" s="118">
        <v>4</v>
      </c>
      <c r="F23" s="118">
        <v>-1</v>
      </c>
      <c r="G23" s="118">
        <v>6</v>
      </c>
      <c r="H23" s="118">
        <v>-13</v>
      </c>
      <c r="I23" s="118">
        <v>-5</v>
      </c>
      <c r="J23" s="118">
        <v>-6</v>
      </c>
      <c r="K23" s="118">
        <v>-5</v>
      </c>
      <c r="L23" s="118">
        <v>19</v>
      </c>
      <c r="M23" s="118">
        <v>0</v>
      </c>
      <c r="N23" s="118">
        <v>0</v>
      </c>
      <c r="O23" s="118">
        <v>0</v>
      </c>
      <c r="P23" s="118">
        <v>0</v>
      </c>
      <c r="Q23" s="118">
        <v>0</v>
      </c>
      <c r="R23" s="118">
        <v>0</v>
      </c>
      <c r="S23" s="118">
        <v>0</v>
      </c>
      <c r="T23" s="118">
        <v>0</v>
      </c>
      <c r="V23" s="83" t="str">
        <f t="shared" si="1"/>
        <v>Provisión impuesto de renta</v>
      </c>
      <c r="W23" s="118">
        <v>0</v>
      </c>
      <c r="X23" s="118">
        <f>+'[38]EEFF_TE_Chi (Final)'!X23</f>
        <v>-2</v>
      </c>
    </row>
    <row r="24" spans="1:24" ht="15.5">
      <c r="A24" s="143"/>
      <c r="B24" s="85" t="s">
        <v>52</v>
      </c>
      <c r="C24" s="120">
        <v>2</v>
      </c>
      <c r="D24" s="120">
        <v>-4</v>
      </c>
      <c r="E24" s="120">
        <v>0</v>
      </c>
      <c r="F24" s="120">
        <v>-3</v>
      </c>
      <c r="G24" s="120">
        <v>8</v>
      </c>
      <c r="H24" s="120">
        <v>6</v>
      </c>
      <c r="I24" s="120">
        <v>2</v>
      </c>
      <c r="J24" s="120">
        <v>19</v>
      </c>
      <c r="K24" s="120">
        <v>7</v>
      </c>
      <c r="L24" s="120">
        <v>-16</v>
      </c>
      <c r="M24" s="120">
        <v>-2</v>
      </c>
      <c r="N24" s="120">
        <v>1</v>
      </c>
      <c r="O24" s="120">
        <v>1</v>
      </c>
      <c r="P24" s="120">
        <v>4</v>
      </c>
      <c r="Q24" s="120">
        <v>1</v>
      </c>
      <c r="R24" s="120">
        <v>1</v>
      </c>
      <c r="S24" s="120">
        <v>1</v>
      </c>
      <c r="T24" s="120">
        <v>5</v>
      </c>
      <c r="V24" s="85" t="str">
        <f t="shared" si="1"/>
        <v>Utilidad neta</v>
      </c>
      <c r="W24" s="120">
        <v>1</v>
      </c>
      <c r="X24" s="120">
        <f>+'[38]EEFF_TE_Chi (Final)'!X24</f>
        <v>-5</v>
      </c>
    </row>
    <row r="25" spans="1:24" ht="15.5">
      <c r="A25" s="143"/>
      <c r="B25" s="143"/>
      <c r="C25" s="143"/>
      <c r="D25" s="143"/>
      <c r="E25" s="143"/>
      <c r="F25" s="143"/>
      <c r="G25" s="143"/>
      <c r="H25" s="143"/>
      <c r="I25" s="143"/>
      <c r="J25" s="143"/>
      <c r="K25" s="143"/>
      <c r="L25" s="143"/>
      <c r="M25" s="143"/>
      <c r="N25" s="143"/>
      <c r="O25" s="143"/>
      <c r="P25" s="35"/>
      <c r="Q25" s="35"/>
      <c r="R25" s="35"/>
      <c r="S25" s="35"/>
      <c r="T25" s="35"/>
      <c r="W25" s="46"/>
    </row>
    <row r="26" spans="1:24" ht="15.5">
      <c r="A26" s="143"/>
      <c r="B26" s="143"/>
      <c r="C26" s="143"/>
      <c r="D26" s="143"/>
      <c r="E26" s="143"/>
      <c r="F26" s="143"/>
      <c r="G26" s="143"/>
      <c r="H26" s="143"/>
      <c r="I26" s="143"/>
      <c r="J26" s="143"/>
      <c r="K26" s="143"/>
      <c r="L26" s="143"/>
      <c r="M26" s="143"/>
      <c r="N26" s="143"/>
      <c r="O26" s="143"/>
      <c r="P26" s="46"/>
      <c r="Q26" s="46"/>
      <c r="T26" s="46"/>
      <c r="V26" s="85" t="s">
        <v>1104</v>
      </c>
      <c r="W26" s="120">
        <v>19.474485999999999</v>
      </c>
      <c r="X26" s="120">
        <f>+'[38]EEFF_TE_Chi (Final)'!X26</f>
        <v>19</v>
      </c>
    </row>
    <row r="27" spans="1:24" ht="15.5">
      <c r="A27" s="143"/>
      <c r="B27" s="12" t="s">
        <v>354</v>
      </c>
      <c r="C27" s="143"/>
      <c r="D27" s="143"/>
      <c r="E27" s="143"/>
      <c r="F27" s="143"/>
      <c r="G27" s="143"/>
      <c r="H27" s="12"/>
      <c r="I27" s="12"/>
      <c r="J27" s="12"/>
      <c r="K27" s="12"/>
      <c r="L27" s="12"/>
      <c r="M27" s="12"/>
      <c r="N27" s="12"/>
      <c r="O27" s="12"/>
      <c r="P27" s="46"/>
      <c r="Q27" s="46"/>
      <c r="T27" s="46"/>
    </row>
    <row r="28" spans="1:24" ht="15.5">
      <c r="A28" s="143"/>
      <c r="B28" s="165" t="s">
        <v>353</v>
      </c>
      <c r="C28" s="143"/>
      <c r="D28" s="143"/>
      <c r="E28" s="143"/>
      <c r="F28" s="143"/>
      <c r="G28" s="143"/>
      <c r="H28" s="88"/>
      <c r="I28" s="88"/>
      <c r="J28" s="88"/>
      <c r="K28" s="88"/>
      <c r="L28" s="88"/>
      <c r="M28" s="88"/>
      <c r="N28" s="88"/>
      <c r="O28" s="88"/>
      <c r="P28" s="46"/>
      <c r="Q28" s="46"/>
      <c r="T28" s="46"/>
    </row>
    <row r="29" spans="1:24" ht="13" customHeight="1">
      <c r="A29" s="143"/>
      <c r="B29" s="90"/>
      <c r="C29" s="143"/>
      <c r="D29" s="143"/>
      <c r="E29" s="143"/>
      <c r="F29" s="143"/>
      <c r="G29" s="143"/>
      <c r="H29" s="90"/>
      <c r="I29" s="90"/>
      <c r="J29" s="90"/>
      <c r="K29" s="90"/>
      <c r="L29" s="90"/>
      <c r="M29" s="90"/>
      <c r="N29" s="90"/>
      <c r="O29" s="90"/>
      <c r="P29" s="46"/>
      <c r="Q29" s="46"/>
      <c r="T29" s="46"/>
    </row>
    <row r="30" spans="1:24" s="46" customFormat="1" ht="16" thickBot="1">
      <c r="A30" s="143"/>
      <c r="B30" s="148"/>
      <c r="C30" s="149">
        <v>2016</v>
      </c>
      <c r="D30" s="149">
        <v>2017</v>
      </c>
      <c r="E30" s="149" t="s">
        <v>19</v>
      </c>
      <c r="F30" s="149" t="s">
        <v>20</v>
      </c>
      <c r="G30" s="149" t="s">
        <v>21</v>
      </c>
      <c r="H30" s="149" t="s">
        <v>22</v>
      </c>
      <c r="I30" s="149" t="s">
        <v>23</v>
      </c>
      <c r="J30" s="149" t="s">
        <v>24</v>
      </c>
      <c r="K30" s="149" t="s">
        <v>25</v>
      </c>
      <c r="L30" s="149" t="s">
        <v>26</v>
      </c>
      <c r="M30" s="149" t="s">
        <v>27</v>
      </c>
      <c r="N30" s="149" t="s">
        <v>28</v>
      </c>
      <c r="O30" s="149" t="s">
        <v>29</v>
      </c>
      <c r="P30" s="275" t="s">
        <v>722</v>
      </c>
      <c r="Q30" s="340" t="s">
        <v>739</v>
      </c>
      <c r="R30" s="340" t="s">
        <v>912</v>
      </c>
      <c r="S30" s="340" t="s">
        <v>1051</v>
      </c>
      <c r="T30" s="340" t="s">
        <v>1089</v>
      </c>
      <c r="V30" s="148"/>
      <c r="W30" s="340" t="s">
        <v>1109</v>
      </c>
      <c r="X30" s="340" t="str">
        <f>+'[38]EEFF_TE_Chi (Final)'!X30</f>
        <v>2T22</v>
      </c>
    </row>
    <row r="31" spans="1:24" ht="15.5">
      <c r="A31" s="143"/>
      <c r="B31" s="179" t="s">
        <v>55</v>
      </c>
      <c r="C31" s="180"/>
      <c r="D31" s="180"/>
      <c r="E31" s="180"/>
      <c r="F31" s="180"/>
      <c r="G31" s="180"/>
      <c r="H31" s="180"/>
      <c r="I31" s="180"/>
      <c r="J31" s="180"/>
      <c r="K31" s="180"/>
      <c r="L31" s="180"/>
      <c r="M31" s="180"/>
      <c r="N31" s="179"/>
      <c r="O31" s="179"/>
      <c r="P31" s="179"/>
      <c r="Q31" s="179"/>
      <c r="R31" s="179"/>
      <c r="S31" s="179"/>
      <c r="T31" s="179"/>
      <c r="V31" s="179" t="s">
        <v>55</v>
      </c>
      <c r="W31" s="179"/>
      <c r="X31" s="179"/>
    </row>
    <row r="32" spans="1:24" ht="15.5">
      <c r="A32" s="143"/>
      <c r="B32" s="181" t="s">
        <v>56</v>
      </c>
      <c r="C32" s="182"/>
      <c r="D32" s="182"/>
      <c r="E32" s="182"/>
      <c r="F32" s="182"/>
      <c r="G32" s="182"/>
      <c r="H32" s="182"/>
      <c r="I32" s="182"/>
      <c r="J32" s="182"/>
      <c r="K32" s="182"/>
      <c r="L32" s="182"/>
      <c r="M32" s="182"/>
      <c r="N32" s="182"/>
      <c r="O32" s="182"/>
      <c r="P32" s="182"/>
      <c r="Q32" s="182"/>
      <c r="R32" s="182"/>
      <c r="S32" s="182"/>
      <c r="T32" s="182"/>
      <c r="V32" s="181" t="s">
        <v>56</v>
      </c>
      <c r="W32" s="182"/>
      <c r="X32" s="182"/>
    </row>
    <row r="33" spans="1:24" s="42" customFormat="1" ht="15.5">
      <c r="A33" s="193"/>
      <c r="B33" s="183" t="s">
        <v>57</v>
      </c>
      <c r="C33" s="184">
        <v>35</v>
      </c>
      <c r="D33" s="184">
        <v>0</v>
      </c>
      <c r="E33" s="184">
        <v>20</v>
      </c>
      <c r="F33" s="184">
        <v>6</v>
      </c>
      <c r="G33" s="184">
        <v>1</v>
      </c>
      <c r="H33" s="184">
        <v>1</v>
      </c>
      <c r="I33" s="184">
        <v>2</v>
      </c>
      <c r="J33" s="184">
        <v>1</v>
      </c>
      <c r="K33" s="184">
        <v>1</v>
      </c>
      <c r="L33" s="184">
        <v>1</v>
      </c>
      <c r="M33" s="184">
        <v>1</v>
      </c>
      <c r="N33" s="184">
        <v>1</v>
      </c>
      <c r="O33" s="184">
        <v>1.284</v>
      </c>
      <c r="P33" s="184">
        <v>1</v>
      </c>
      <c r="Q33" s="184">
        <v>1</v>
      </c>
      <c r="R33" s="184">
        <v>0</v>
      </c>
      <c r="S33" s="184">
        <v>333</v>
      </c>
      <c r="T33" s="184">
        <v>314</v>
      </c>
      <c r="V33" s="183" t="s">
        <v>57</v>
      </c>
      <c r="W33" s="184">
        <v>333</v>
      </c>
      <c r="X33" s="184">
        <f>+'[38]EEFF_TE_Chi (Final)'!X33</f>
        <v>307</v>
      </c>
    </row>
    <row r="34" spans="1:24" s="42" customFormat="1" ht="15.5">
      <c r="A34" s="193"/>
      <c r="B34" s="183" t="s">
        <v>58</v>
      </c>
      <c r="C34" s="184">
        <v>8</v>
      </c>
      <c r="D34" s="184">
        <v>0</v>
      </c>
      <c r="E34" s="184">
        <v>0</v>
      </c>
      <c r="F34" s="184">
        <v>0</v>
      </c>
      <c r="G34" s="184">
        <v>0</v>
      </c>
      <c r="H34" s="184">
        <v>1</v>
      </c>
      <c r="I34" s="184">
        <v>2</v>
      </c>
      <c r="J34" s="184">
        <v>1</v>
      </c>
      <c r="K34" s="184">
        <v>1</v>
      </c>
      <c r="L34" s="184">
        <v>2</v>
      </c>
      <c r="M34" s="184">
        <v>1</v>
      </c>
      <c r="N34" s="184">
        <v>1</v>
      </c>
      <c r="O34" s="184">
        <v>1.0669999999999999</v>
      </c>
      <c r="P34" s="184">
        <v>12</v>
      </c>
      <c r="Q34" s="184">
        <v>7</v>
      </c>
      <c r="R34" s="184">
        <v>3</v>
      </c>
      <c r="S34" s="184">
        <v>21</v>
      </c>
      <c r="T34" s="184">
        <v>19</v>
      </c>
      <c r="V34" s="183" t="s">
        <v>58</v>
      </c>
      <c r="W34" s="184">
        <v>16</v>
      </c>
      <c r="X34" s="184">
        <f>+'[38]EEFF_TE_Chi (Final)'!X34</f>
        <v>1</v>
      </c>
    </row>
    <row r="35" spans="1:24" s="42" customFormat="1" ht="15.5">
      <c r="A35" s="193"/>
      <c r="B35" s="183" t="s">
        <v>59</v>
      </c>
      <c r="C35" s="184">
        <v>53</v>
      </c>
      <c r="D35" s="184">
        <v>16</v>
      </c>
      <c r="E35" s="184">
        <v>21</v>
      </c>
      <c r="F35" s="184">
        <v>30</v>
      </c>
      <c r="G35" s="184">
        <v>28</v>
      </c>
      <c r="H35" s="184">
        <v>29</v>
      </c>
      <c r="I35" s="184">
        <v>7</v>
      </c>
      <c r="J35" s="184">
        <v>8</v>
      </c>
      <c r="K35" s="184">
        <v>7</v>
      </c>
      <c r="L35" s="184">
        <v>4</v>
      </c>
      <c r="M35" s="184">
        <v>1</v>
      </c>
      <c r="N35" s="184">
        <v>2</v>
      </c>
      <c r="O35" s="184">
        <v>1.1859999999999999</v>
      </c>
      <c r="P35" s="184">
        <v>0</v>
      </c>
      <c r="Q35" s="184"/>
      <c r="R35" s="184">
        <v>0</v>
      </c>
      <c r="S35" s="184">
        <v>0</v>
      </c>
      <c r="T35" s="184">
        <v>0</v>
      </c>
      <c r="V35" s="183" t="s">
        <v>59</v>
      </c>
      <c r="W35" s="184" t="s">
        <v>152</v>
      </c>
      <c r="X35" s="184">
        <f>+'[38]EEFF_TE_Chi (Final)'!X35</f>
        <v>0</v>
      </c>
    </row>
    <row r="36" spans="1:24" s="42" customFormat="1" ht="15.5">
      <c r="A36" s="193"/>
      <c r="B36" s="183" t="s">
        <v>61</v>
      </c>
      <c r="C36" s="184">
        <v>1</v>
      </c>
      <c r="D36" s="184">
        <v>3</v>
      </c>
      <c r="E36" s="184">
        <v>1</v>
      </c>
      <c r="F36" s="184">
        <v>2</v>
      </c>
      <c r="G36" s="184">
        <v>2</v>
      </c>
      <c r="H36" s="184">
        <v>2</v>
      </c>
      <c r="I36" s="184">
        <v>3</v>
      </c>
      <c r="J36" s="184">
        <v>2</v>
      </c>
      <c r="K36" s="184">
        <v>3</v>
      </c>
      <c r="L36" s="184">
        <v>1</v>
      </c>
      <c r="M36" s="184">
        <v>2</v>
      </c>
      <c r="N36" s="184">
        <v>2</v>
      </c>
      <c r="O36" s="184">
        <v>0.59299999999999997</v>
      </c>
      <c r="P36" s="184">
        <v>1</v>
      </c>
      <c r="Q36" s="184">
        <v>7</v>
      </c>
      <c r="R36" s="184">
        <v>4</v>
      </c>
      <c r="S36" s="184">
        <v>5</v>
      </c>
      <c r="T36" s="184">
        <v>5</v>
      </c>
      <c r="V36" s="183" t="s">
        <v>61</v>
      </c>
      <c r="W36" s="184">
        <v>5</v>
      </c>
      <c r="X36" s="184">
        <f>+'[38]EEFF_TE_Chi (Final)'!X36</f>
        <v>0</v>
      </c>
    </row>
    <row r="37" spans="1:24" s="42" customFormat="1" ht="15.5">
      <c r="A37" s="193"/>
      <c r="B37" s="183" t="s">
        <v>282</v>
      </c>
      <c r="C37" s="184">
        <v>0</v>
      </c>
      <c r="D37" s="184">
        <v>0</v>
      </c>
      <c r="E37" s="184">
        <v>0</v>
      </c>
      <c r="F37" s="184">
        <v>0</v>
      </c>
      <c r="G37" s="184">
        <v>0</v>
      </c>
      <c r="H37" s="184">
        <v>0</v>
      </c>
      <c r="I37" s="184">
        <v>0</v>
      </c>
      <c r="J37" s="184">
        <v>0</v>
      </c>
      <c r="K37" s="184">
        <v>0</v>
      </c>
      <c r="L37" s="184">
        <v>0</v>
      </c>
      <c r="M37" s="184">
        <v>0</v>
      </c>
      <c r="N37" s="184">
        <v>0</v>
      </c>
      <c r="O37" s="184">
        <v>0</v>
      </c>
      <c r="P37" s="184"/>
      <c r="Q37" s="184"/>
      <c r="R37" s="184"/>
      <c r="S37" s="184">
        <v>0</v>
      </c>
      <c r="T37" s="184">
        <v>0</v>
      </c>
      <c r="V37" s="183" t="s">
        <v>282</v>
      </c>
      <c r="W37" s="184"/>
      <c r="X37" s="184">
        <f>+'[38]EEFF_TE_Chi (Final)'!X37</f>
        <v>0</v>
      </c>
    </row>
    <row r="38" spans="1:24" s="42" customFormat="1" ht="15.5">
      <c r="A38" s="193"/>
      <c r="B38" s="183" t="s">
        <v>62</v>
      </c>
      <c r="C38" s="184">
        <v>0</v>
      </c>
      <c r="D38" s="184">
        <v>0</v>
      </c>
      <c r="E38" s="184">
        <v>0</v>
      </c>
      <c r="F38" s="184">
        <v>0</v>
      </c>
      <c r="G38" s="184">
        <v>0</v>
      </c>
      <c r="H38" s="184">
        <v>0</v>
      </c>
      <c r="I38" s="184">
        <v>0</v>
      </c>
      <c r="J38" s="184">
        <v>0</v>
      </c>
      <c r="K38" s="184">
        <v>0</v>
      </c>
      <c r="L38" s="184">
        <v>0</v>
      </c>
      <c r="M38" s="184">
        <v>0</v>
      </c>
      <c r="N38" s="184">
        <v>0</v>
      </c>
      <c r="O38" s="184">
        <v>0</v>
      </c>
      <c r="P38" s="184"/>
      <c r="Q38" s="184"/>
      <c r="R38" s="184"/>
      <c r="S38" s="184">
        <v>0</v>
      </c>
      <c r="T38" s="184">
        <v>0</v>
      </c>
      <c r="V38" s="183" t="s">
        <v>62</v>
      </c>
      <c r="W38" s="184"/>
      <c r="X38" s="184">
        <f>+'[38]EEFF_TE_Chi (Final)'!X38</f>
        <v>0</v>
      </c>
    </row>
    <row r="39" spans="1:24" ht="15.5">
      <c r="A39" s="143"/>
      <c r="B39" s="132" t="s">
        <v>63</v>
      </c>
      <c r="C39" s="185">
        <f t="shared" ref="C39:N39" si="2">SUM(C33:C38)</f>
        <v>97</v>
      </c>
      <c r="D39" s="185">
        <f t="shared" si="2"/>
        <v>19</v>
      </c>
      <c r="E39" s="185">
        <f t="shared" si="2"/>
        <v>42</v>
      </c>
      <c r="F39" s="185">
        <f t="shared" si="2"/>
        <v>38</v>
      </c>
      <c r="G39" s="185">
        <f t="shared" si="2"/>
        <v>31</v>
      </c>
      <c r="H39" s="185">
        <f t="shared" si="2"/>
        <v>33</v>
      </c>
      <c r="I39" s="185">
        <f t="shared" si="2"/>
        <v>14</v>
      </c>
      <c r="J39" s="185">
        <f t="shared" si="2"/>
        <v>12</v>
      </c>
      <c r="K39" s="185">
        <f t="shared" si="2"/>
        <v>12</v>
      </c>
      <c r="L39" s="185">
        <f t="shared" si="2"/>
        <v>8</v>
      </c>
      <c r="M39" s="185">
        <f t="shared" si="2"/>
        <v>5</v>
      </c>
      <c r="N39" s="185">
        <f t="shared" si="2"/>
        <v>6</v>
      </c>
      <c r="O39" s="185">
        <v>4.13</v>
      </c>
      <c r="P39" s="185">
        <f>SUM(P33:P38)</f>
        <v>14</v>
      </c>
      <c r="Q39" s="185">
        <v>9</v>
      </c>
      <c r="R39" s="185">
        <v>7</v>
      </c>
      <c r="S39" s="185">
        <v>359</v>
      </c>
      <c r="T39" s="185">
        <v>338</v>
      </c>
      <c r="V39" s="132" t="s">
        <v>63</v>
      </c>
      <c r="W39" s="185">
        <v>354</v>
      </c>
      <c r="X39" s="185">
        <f>+'[38]EEFF_TE_Chi (Final)'!X39</f>
        <v>308</v>
      </c>
    </row>
    <row r="40" spans="1:24" ht="15.5">
      <c r="A40" s="143"/>
      <c r="B40" s="181" t="s">
        <v>64</v>
      </c>
      <c r="C40" s="182"/>
      <c r="D40" s="182"/>
      <c r="E40" s="182"/>
      <c r="F40" s="182"/>
      <c r="G40" s="182"/>
      <c r="H40" s="182"/>
      <c r="I40" s="182"/>
      <c r="J40" s="182"/>
      <c r="K40" s="182"/>
      <c r="L40" s="182"/>
      <c r="M40" s="182"/>
      <c r="N40" s="182"/>
      <c r="O40" s="182">
        <v>0</v>
      </c>
      <c r="P40" s="182"/>
      <c r="Q40" s="182"/>
      <c r="R40" s="182"/>
      <c r="S40" s="182">
        <v>0</v>
      </c>
      <c r="T40" s="182">
        <v>0</v>
      </c>
      <c r="V40" s="181" t="s">
        <v>64</v>
      </c>
      <c r="W40" s="182"/>
      <c r="X40" s="182">
        <f>+'[38]EEFF_TE_Chi (Final)'!X40</f>
        <v>0</v>
      </c>
    </row>
    <row r="41" spans="1:24" s="42" customFormat="1" ht="15.5">
      <c r="A41" s="193"/>
      <c r="B41" s="183" t="s">
        <v>65</v>
      </c>
      <c r="C41" s="184">
        <v>4</v>
      </c>
      <c r="D41" s="184">
        <v>3</v>
      </c>
      <c r="E41" s="184">
        <v>9</v>
      </c>
      <c r="F41" s="184">
        <v>22</v>
      </c>
      <c r="G41" s="184">
        <v>11</v>
      </c>
      <c r="H41" s="184">
        <v>86</v>
      </c>
      <c r="I41" s="184">
        <v>64</v>
      </c>
      <c r="J41" s="184">
        <v>44</v>
      </c>
      <c r="K41" s="184">
        <v>19</v>
      </c>
      <c r="L41" s="184">
        <v>15</v>
      </c>
      <c r="M41" s="184">
        <v>8</v>
      </c>
      <c r="N41" s="184">
        <v>85</v>
      </c>
      <c r="O41" s="184">
        <v>49.622</v>
      </c>
      <c r="P41" s="184">
        <v>52</v>
      </c>
      <c r="Q41" s="184">
        <v>54</v>
      </c>
      <c r="R41" s="184">
        <v>57</v>
      </c>
      <c r="S41" s="184">
        <v>11</v>
      </c>
      <c r="T41" s="184">
        <v>23</v>
      </c>
      <c r="V41" s="183" t="s">
        <v>65</v>
      </c>
      <c r="W41" s="184">
        <v>24</v>
      </c>
      <c r="X41" s="184">
        <f>+'[38]EEFF_TE_Chi (Final)'!X41</f>
        <v>43</v>
      </c>
    </row>
    <row r="42" spans="1:24" s="42" customFormat="1" ht="15.5">
      <c r="A42" s="193"/>
      <c r="B42" s="183" t="s">
        <v>66</v>
      </c>
      <c r="C42" s="184">
        <v>0</v>
      </c>
      <c r="D42" s="184">
        <v>0</v>
      </c>
      <c r="E42" s="184">
        <v>0</v>
      </c>
      <c r="F42" s="184">
        <v>0</v>
      </c>
      <c r="G42" s="184">
        <v>0</v>
      </c>
      <c r="H42" s="184">
        <v>0</v>
      </c>
      <c r="I42" s="184">
        <v>0</v>
      </c>
      <c r="J42" s="184">
        <v>0</v>
      </c>
      <c r="K42" s="184">
        <v>0</v>
      </c>
      <c r="L42" s="184">
        <v>0</v>
      </c>
      <c r="M42" s="184">
        <v>0</v>
      </c>
      <c r="N42" s="184">
        <v>0</v>
      </c>
      <c r="O42" s="184">
        <v>0</v>
      </c>
      <c r="P42" s="184"/>
      <c r="Q42" s="184"/>
      <c r="R42" s="184">
        <v>0</v>
      </c>
      <c r="S42" s="184">
        <v>0</v>
      </c>
      <c r="T42" s="184">
        <v>0</v>
      </c>
      <c r="V42" s="183" t="s">
        <v>66</v>
      </c>
      <c r="W42" s="184">
        <v>0</v>
      </c>
      <c r="X42" s="184">
        <f>+'[38]EEFF_TE_Chi (Final)'!X42</f>
        <v>0</v>
      </c>
    </row>
    <row r="43" spans="1:24" s="42" customFormat="1" ht="15.75" customHeight="1">
      <c r="A43" s="193"/>
      <c r="B43" s="183" t="s">
        <v>113</v>
      </c>
      <c r="C43" s="184">
        <v>0</v>
      </c>
      <c r="D43" s="184">
        <v>0</v>
      </c>
      <c r="E43" s="184">
        <v>0</v>
      </c>
      <c r="F43" s="184">
        <v>0</v>
      </c>
      <c r="G43" s="184">
        <v>0</v>
      </c>
      <c r="H43" s="184">
        <v>0</v>
      </c>
      <c r="I43" s="184">
        <v>0</v>
      </c>
      <c r="J43" s="184">
        <v>0</v>
      </c>
      <c r="K43" s="184">
        <v>0</v>
      </c>
      <c r="L43" s="184">
        <v>0</v>
      </c>
      <c r="M43" s="184">
        <v>0</v>
      </c>
      <c r="N43" s="184">
        <v>0</v>
      </c>
      <c r="O43" s="184">
        <v>0</v>
      </c>
      <c r="P43" s="184"/>
      <c r="Q43" s="184"/>
      <c r="R43" s="184">
        <v>0</v>
      </c>
      <c r="S43" s="184">
        <v>0</v>
      </c>
      <c r="T43" s="184">
        <v>0</v>
      </c>
      <c r="V43" s="183" t="s">
        <v>113</v>
      </c>
      <c r="W43" s="184">
        <v>0</v>
      </c>
      <c r="X43" s="184">
        <f>+'[38]EEFF_TE_Chi (Final)'!X43</f>
        <v>0</v>
      </c>
    </row>
    <row r="44" spans="1:24" s="42" customFormat="1" ht="15.5">
      <c r="A44" s="193"/>
      <c r="B44" s="183" t="s">
        <v>114</v>
      </c>
      <c r="C44" s="184">
        <v>0</v>
      </c>
      <c r="D44" s="184">
        <v>0</v>
      </c>
      <c r="E44" s="184">
        <v>0</v>
      </c>
      <c r="F44" s="184">
        <v>0</v>
      </c>
      <c r="G44" s="184">
        <v>0</v>
      </c>
      <c r="H44" s="184">
        <v>0</v>
      </c>
      <c r="I44" s="184">
        <v>0</v>
      </c>
      <c r="J44" s="184">
        <v>0</v>
      </c>
      <c r="K44" s="184">
        <v>0</v>
      </c>
      <c r="L44" s="184">
        <v>0</v>
      </c>
      <c r="M44" s="184">
        <v>0</v>
      </c>
      <c r="N44" s="184">
        <v>0</v>
      </c>
      <c r="O44" s="184">
        <v>0</v>
      </c>
      <c r="P44" s="184"/>
      <c r="Q44" s="184"/>
      <c r="R44" s="184">
        <v>0</v>
      </c>
      <c r="S44" s="184">
        <v>0</v>
      </c>
      <c r="T44" s="184">
        <v>0</v>
      </c>
      <c r="V44" s="183" t="s">
        <v>114</v>
      </c>
      <c r="W44" s="184">
        <v>0</v>
      </c>
      <c r="X44" s="184">
        <f>+'[38]EEFF_TE_Chi (Final)'!X44</f>
        <v>0</v>
      </c>
    </row>
    <row r="45" spans="1:24" s="42" customFormat="1" ht="15.5">
      <c r="A45" s="193"/>
      <c r="B45" s="183" t="s">
        <v>58</v>
      </c>
      <c r="C45" s="184">
        <v>0</v>
      </c>
      <c r="D45" s="184">
        <v>1</v>
      </c>
      <c r="E45" s="184">
        <v>2</v>
      </c>
      <c r="F45" s="184">
        <v>1</v>
      </c>
      <c r="G45" s="184">
        <v>14</v>
      </c>
      <c r="H45" s="184">
        <v>8</v>
      </c>
      <c r="I45" s="184">
        <v>4</v>
      </c>
      <c r="J45" s="184">
        <v>10</v>
      </c>
      <c r="K45" s="184">
        <v>11</v>
      </c>
      <c r="L45" s="184">
        <v>14</v>
      </c>
      <c r="M45" s="184">
        <v>21</v>
      </c>
      <c r="N45" s="184">
        <v>28</v>
      </c>
      <c r="O45" s="184">
        <v>30.213000000000001</v>
      </c>
      <c r="P45" s="184">
        <v>34</v>
      </c>
      <c r="Q45" s="184">
        <v>32</v>
      </c>
      <c r="R45" s="184">
        <v>29</v>
      </c>
      <c r="S45" s="184">
        <v>1</v>
      </c>
      <c r="T45" s="184">
        <v>1</v>
      </c>
      <c r="V45" s="183" t="s">
        <v>58</v>
      </c>
      <c r="W45" s="184">
        <v>0</v>
      </c>
      <c r="X45" s="184">
        <f>+'[38]EEFF_TE_Chi (Final)'!X45</f>
        <v>10</v>
      </c>
    </row>
    <row r="46" spans="1:24" s="42" customFormat="1" ht="15.5">
      <c r="A46" s="193"/>
      <c r="B46" s="183" t="s">
        <v>69</v>
      </c>
      <c r="C46" s="184">
        <v>0</v>
      </c>
      <c r="D46" s="184">
        <v>0</v>
      </c>
      <c r="E46" s="184">
        <v>0</v>
      </c>
      <c r="F46" s="184">
        <v>0</v>
      </c>
      <c r="G46" s="184">
        <v>0</v>
      </c>
      <c r="H46" s="184">
        <v>0</v>
      </c>
      <c r="I46" s="184">
        <v>0</v>
      </c>
      <c r="J46" s="184">
        <v>0</v>
      </c>
      <c r="K46" s="184">
        <v>0</v>
      </c>
      <c r="L46" s="184">
        <v>0</v>
      </c>
      <c r="M46" s="184">
        <v>0</v>
      </c>
      <c r="N46" s="184">
        <v>0</v>
      </c>
      <c r="O46" s="184">
        <v>0</v>
      </c>
      <c r="P46" s="184"/>
      <c r="Q46" s="184"/>
      <c r="R46" s="184">
        <v>0</v>
      </c>
      <c r="S46" s="184">
        <v>0</v>
      </c>
      <c r="T46" s="184">
        <v>0</v>
      </c>
      <c r="V46" s="183" t="s">
        <v>69</v>
      </c>
      <c r="W46" s="184">
        <v>0</v>
      </c>
      <c r="X46" s="184">
        <f>+'[38]EEFF_TE_Chi (Final)'!X46</f>
        <v>0</v>
      </c>
    </row>
    <row r="47" spans="1:24" s="42" customFormat="1" ht="15.5">
      <c r="A47" s="193"/>
      <c r="B47" s="183" t="s">
        <v>70</v>
      </c>
      <c r="C47" s="184">
        <v>484</v>
      </c>
      <c r="D47" s="184">
        <v>740</v>
      </c>
      <c r="E47" s="184">
        <v>784</v>
      </c>
      <c r="F47" s="184">
        <v>854</v>
      </c>
      <c r="G47" s="184">
        <v>878</v>
      </c>
      <c r="H47" s="184">
        <v>880</v>
      </c>
      <c r="I47" s="184">
        <v>917</v>
      </c>
      <c r="J47" s="184">
        <v>862</v>
      </c>
      <c r="K47" s="184">
        <v>891</v>
      </c>
      <c r="L47" s="184">
        <v>1018</v>
      </c>
      <c r="M47" s="184">
        <v>1013</v>
      </c>
      <c r="N47" s="184">
        <v>1006</v>
      </c>
      <c r="O47" s="184">
        <v>1034.9549999999999</v>
      </c>
      <c r="P47" s="184">
        <v>1050</v>
      </c>
      <c r="Q47" s="184">
        <v>1044</v>
      </c>
      <c r="R47" s="184">
        <v>1040</v>
      </c>
      <c r="S47" s="184">
        <v>1045</v>
      </c>
      <c r="T47" s="184">
        <v>1030</v>
      </c>
      <c r="V47" s="183" t="s">
        <v>70</v>
      </c>
      <c r="W47" s="184">
        <v>1024</v>
      </c>
      <c r="X47" s="184">
        <f>+'[38]EEFF_TE_Chi (Final)'!X47</f>
        <v>1018</v>
      </c>
    </row>
    <row r="48" spans="1:24" s="42" customFormat="1" ht="15.5">
      <c r="A48" s="193"/>
      <c r="B48" s="183" t="s">
        <v>71</v>
      </c>
      <c r="C48" s="184">
        <v>0</v>
      </c>
      <c r="D48" s="184">
        <v>0</v>
      </c>
      <c r="E48" s="184">
        <v>0</v>
      </c>
      <c r="F48" s="184">
        <v>0</v>
      </c>
      <c r="G48" s="184">
        <v>0</v>
      </c>
      <c r="H48" s="184">
        <v>0</v>
      </c>
      <c r="I48" s="184">
        <v>0</v>
      </c>
      <c r="J48" s="184">
        <v>0</v>
      </c>
      <c r="K48" s="184">
        <v>0</v>
      </c>
      <c r="L48" s="184">
        <v>0</v>
      </c>
      <c r="M48" s="184">
        <v>0</v>
      </c>
      <c r="N48" s="184">
        <v>0</v>
      </c>
      <c r="O48" s="184">
        <v>0</v>
      </c>
      <c r="P48" s="184"/>
      <c r="Q48" s="184"/>
      <c r="R48" s="184">
        <v>0</v>
      </c>
      <c r="S48" s="184">
        <v>0</v>
      </c>
      <c r="T48" s="184">
        <v>0</v>
      </c>
      <c r="V48" s="183" t="s">
        <v>71</v>
      </c>
      <c r="W48" s="184">
        <v>0</v>
      </c>
      <c r="X48" s="184">
        <f>+'[38]EEFF_TE_Chi (Final)'!X48</f>
        <v>0</v>
      </c>
    </row>
    <row r="49" spans="1:24" s="42" customFormat="1" ht="15.5">
      <c r="A49" s="193"/>
      <c r="B49" s="183" t="s">
        <v>73</v>
      </c>
      <c r="C49" s="184">
        <v>0</v>
      </c>
      <c r="D49" s="184">
        <v>2</v>
      </c>
      <c r="E49" s="184">
        <v>2</v>
      </c>
      <c r="F49" s="184">
        <v>2</v>
      </c>
      <c r="G49" s="184">
        <v>2</v>
      </c>
      <c r="H49" s="184">
        <v>25</v>
      </c>
      <c r="I49" s="184">
        <v>25</v>
      </c>
      <c r="J49" s="184">
        <v>101</v>
      </c>
      <c r="K49" s="184">
        <v>101</v>
      </c>
      <c r="L49" s="184">
        <v>109</v>
      </c>
      <c r="M49" s="184">
        <v>109</v>
      </c>
      <c r="N49" s="184">
        <v>109</v>
      </c>
      <c r="O49" s="184">
        <v>109.471</v>
      </c>
      <c r="P49" s="184">
        <v>109</v>
      </c>
      <c r="Q49" s="184">
        <v>109</v>
      </c>
      <c r="R49" s="184">
        <v>109</v>
      </c>
      <c r="S49" s="184">
        <v>110</v>
      </c>
      <c r="T49" s="184">
        <v>110</v>
      </c>
      <c r="V49" s="183" t="s">
        <v>73</v>
      </c>
      <c r="W49" s="184">
        <v>110</v>
      </c>
      <c r="X49" s="184">
        <f>+'[38]EEFF_TE_Chi (Final)'!X49</f>
        <v>110</v>
      </c>
    </row>
    <row r="50" spans="1:24" s="42" customFormat="1" ht="15.5">
      <c r="A50" s="193"/>
      <c r="B50" s="183" t="s">
        <v>61</v>
      </c>
      <c r="C50" s="184">
        <v>0</v>
      </c>
      <c r="D50" s="184">
        <v>0</v>
      </c>
      <c r="E50" s="184">
        <v>0</v>
      </c>
      <c r="F50" s="184">
        <v>0</v>
      </c>
      <c r="G50" s="184">
        <v>0</v>
      </c>
      <c r="H50" s="184">
        <v>0</v>
      </c>
      <c r="I50" s="184">
        <v>0</v>
      </c>
      <c r="J50" s="184">
        <v>0</v>
      </c>
      <c r="K50" s="184">
        <v>0</v>
      </c>
      <c r="L50" s="184">
        <v>0</v>
      </c>
      <c r="M50" s="184">
        <v>0</v>
      </c>
      <c r="N50" s="184">
        <v>0</v>
      </c>
      <c r="O50" s="184">
        <v>0.41699999999999998</v>
      </c>
      <c r="P50" s="184"/>
      <c r="Q50" s="184"/>
      <c r="R50" s="184">
        <v>0</v>
      </c>
      <c r="S50" s="184">
        <v>0</v>
      </c>
      <c r="T50" s="184">
        <v>0</v>
      </c>
      <c r="V50" s="183" t="s">
        <v>61</v>
      </c>
      <c r="W50" s="184">
        <v>0</v>
      </c>
      <c r="X50" s="184">
        <f>+'[38]EEFF_TE_Chi (Final)'!X50</f>
        <v>1</v>
      </c>
    </row>
    <row r="51" spans="1:24" s="42" customFormat="1" ht="15.5">
      <c r="A51" s="193"/>
      <c r="B51" s="183" t="s">
        <v>74</v>
      </c>
      <c r="C51" s="184">
        <v>10</v>
      </c>
      <c r="D51" s="184">
        <v>21</v>
      </c>
      <c r="E51" s="184">
        <v>18</v>
      </c>
      <c r="F51" s="184">
        <v>19</v>
      </c>
      <c r="G51" s="184">
        <v>14</v>
      </c>
      <c r="H51" s="184">
        <v>43</v>
      </c>
      <c r="I51" s="184">
        <v>60</v>
      </c>
      <c r="J51" s="184">
        <v>75</v>
      </c>
      <c r="K51" s="184">
        <v>98</v>
      </c>
      <c r="L51" s="184">
        <v>92</v>
      </c>
      <c r="M51" s="184">
        <v>122</v>
      </c>
      <c r="N51" s="184">
        <v>132</v>
      </c>
      <c r="O51" s="184">
        <v>141.44399999999999</v>
      </c>
      <c r="P51" s="184">
        <v>150</v>
      </c>
      <c r="Q51" s="184">
        <v>148</v>
      </c>
      <c r="R51" s="184">
        <v>161</v>
      </c>
      <c r="S51" s="184">
        <v>187</v>
      </c>
      <c r="T51" s="184">
        <v>198</v>
      </c>
      <c r="V51" s="183" t="s">
        <v>74</v>
      </c>
      <c r="W51" s="184">
        <v>34</v>
      </c>
      <c r="X51" s="184">
        <f>+'[38]EEFF_TE_Chi (Final)'!X51</f>
        <v>36</v>
      </c>
    </row>
    <row r="52" spans="1:24" s="42" customFormat="1" ht="15.5">
      <c r="A52" s="193"/>
      <c r="B52" s="183" t="s">
        <v>75</v>
      </c>
      <c r="C52" s="184">
        <v>0</v>
      </c>
      <c r="D52" s="184">
        <v>0</v>
      </c>
      <c r="E52" s="184">
        <v>0</v>
      </c>
      <c r="F52" s="184">
        <v>0</v>
      </c>
      <c r="G52" s="184">
        <v>0</v>
      </c>
      <c r="H52" s="184">
        <v>0</v>
      </c>
      <c r="I52" s="184">
        <v>0</v>
      </c>
      <c r="J52" s="184">
        <v>0</v>
      </c>
      <c r="K52" s="184">
        <v>1</v>
      </c>
      <c r="L52" s="184">
        <v>1</v>
      </c>
      <c r="M52" s="184">
        <v>1</v>
      </c>
      <c r="N52" s="184">
        <v>1</v>
      </c>
      <c r="O52" s="184">
        <v>0.96299999999999997</v>
      </c>
      <c r="P52" s="184">
        <v>1</v>
      </c>
      <c r="Q52" s="184">
        <v>1</v>
      </c>
      <c r="R52" s="184">
        <v>1</v>
      </c>
      <c r="S52" s="184">
        <v>1</v>
      </c>
      <c r="T52" s="184">
        <v>1</v>
      </c>
      <c r="V52" s="183" t="s">
        <v>75</v>
      </c>
      <c r="W52" s="184">
        <v>1</v>
      </c>
      <c r="X52" s="184">
        <f>+'[38]EEFF_TE_Chi (Final)'!X52</f>
        <v>0</v>
      </c>
    </row>
    <row r="53" spans="1:24" s="42" customFormat="1" ht="15.5">
      <c r="A53" s="193"/>
      <c r="B53" s="183" t="s">
        <v>62</v>
      </c>
      <c r="C53" s="184">
        <v>0</v>
      </c>
      <c r="D53" s="184">
        <v>0</v>
      </c>
      <c r="E53" s="184">
        <v>0</v>
      </c>
      <c r="F53" s="184">
        <v>0</v>
      </c>
      <c r="G53" s="184">
        <v>0</v>
      </c>
      <c r="H53" s="184">
        <v>0</v>
      </c>
      <c r="I53" s="184">
        <v>0</v>
      </c>
      <c r="J53" s="184">
        <v>0</v>
      </c>
      <c r="K53" s="184">
        <v>0</v>
      </c>
      <c r="L53" s="184">
        <v>0</v>
      </c>
      <c r="M53" s="184">
        <v>0</v>
      </c>
      <c r="N53" s="184">
        <v>0</v>
      </c>
      <c r="O53" s="184">
        <v>0</v>
      </c>
      <c r="P53" s="184"/>
      <c r="Q53" s="184"/>
      <c r="R53" s="184">
        <v>0</v>
      </c>
      <c r="S53" s="184">
        <v>0</v>
      </c>
      <c r="T53" s="184">
        <v>0</v>
      </c>
      <c r="V53" s="183" t="s">
        <v>62</v>
      </c>
      <c r="W53" s="184">
        <v>0</v>
      </c>
      <c r="X53" s="184">
        <f>+'[38]EEFF_TE_Chi (Final)'!X53</f>
        <v>0</v>
      </c>
    </row>
    <row r="54" spans="1:24" ht="15.5">
      <c r="A54" s="143"/>
      <c r="B54" s="181" t="s">
        <v>77</v>
      </c>
      <c r="C54" s="186">
        <f t="shared" ref="C54:N54" si="3">SUM(C41:C53)</f>
        <v>498</v>
      </c>
      <c r="D54" s="186">
        <f t="shared" si="3"/>
        <v>767</v>
      </c>
      <c r="E54" s="186">
        <f t="shared" si="3"/>
        <v>815</v>
      </c>
      <c r="F54" s="186">
        <f t="shared" si="3"/>
        <v>898</v>
      </c>
      <c r="G54" s="186">
        <f t="shared" si="3"/>
        <v>919</v>
      </c>
      <c r="H54" s="186">
        <f t="shared" si="3"/>
        <v>1042</v>
      </c>
      <c r="I54" s="186">
        <f t="shared" si="3"/>
        <v>1070</v>
      </c>
      <c r="J54" s="186">
        <f t="shared" si="3"/>
        <v>1092</v>
      </c>
      <c r="K54" s="186">
        <f t="shared" si="3"/>
        <v>1121</v>
      </c>
      <c r="L54" s="186">
        <f t="shared" si="3"/>
        <v>1249</v>
      </c>
      <c r="M54" s="186">
        <f t="shared" si="3"/>
        <v>1274</v>
      </c>
      <c r="N54" s="186">
        <f t="shared" si="3"/>
        <v>1361</v>
      </c>
      <c r="O54" s="186">
        <v>1367.085</v>
      </c>
      <c r="P54" s="186">
        <f>SUM(P41:P53)</f>
        <v>1396</v>
      </c>
      <c r="Q54" s="186">
        <v>1388</v>
      </c>
      <c r="R54" s="186">
        <v>1397</v>
      </c>
      <c r="S54" s="186">
        <v>1355</v>
      </c>
      <c r="T54" s="186">
        <v>1363</v>
      </c>
      <c r="V54" s="181" t="s">
        <v>77</v>
      </c>
      <c r="W54" s="186">
        <v>1193</v>
      </c>
      <c r="X54" s="186">
        <f>+'[38]EEFF_TE_Chi (Final)'!X54</f>
        <v>1218</v>
      </c>
    </row>
    <row r="55" spans="1:24" ht="15.5">
      <c r="A55" s="143"/>
      <c r="B55" s="132" t="s">
        <v>78</v>
      </c>
      <c r="C55" s="185">
        <f t="shared" ref="C55:N55" si="4">+C39+C54</f>
        <v>595</v>
      </c>
      <c r="D55" s="185">
        <f t="shared" si="4"/>
        <v>786</v>
      </c>
      <c r="E55" s="185">
        <f t="shared" si="4"/>
        <v>857</v>
      </c>
      <c r="F55" s="185">
        <f t="shared" si="4"/>
        <v>936</v>
      </c>
      <c r="G55" s="185">
        <f t="shared" si="4"/>
        <v>950</v>
      </c>
      <c r="H55" s="185">
        <f t="shared" si="4"/>
        <v>1075</v>
      </c>
      <c r="I55" s="185">
        <f t="shared" si="4"/>
        <v>1084</v>
      </c>
      <c r="J55" s="185">
        <f t="shared" si="4"/>
        <v>1104</v>
      </c>
      <c r="K55" s="185">
        <f t="shared" si="4"/>
        <v>1133</v>
      </c>
      <c r="L55" s="185">
        <f t="shared" si="4"/>
        <v>1257</v>
      </c>
      <c r="M55" s="185">
        <f t="shared" si="4"/>
        <v>1279</v>
      </c>
      <c r="N55" s="185">
        <f t="shared" si="4"/>
        <v>1367</v>
      </c>
      <c r="O55" s="185">
        <v>1371.2149999999999</v>
      </c>
      <c r="P55" s="185">
        <f>+P54+P39</f>
        <v>1410</v>
      </c>
      <c r="Q55" s="185">
        <v>1397</v>
      </c>
      <c r="R55" s="185">
        <v>1404</v>
      </c>
      <c r="S55" s="185">
        <v>1714</v>
      </c>
      <c r="T55" s="185">
        <v>1701</v>
      </c>
      <c r="V55" s="132" t="s">
        <v>78</v>
      </c>
      <c r="W55" s="185">
        <v>1547</v>
      </c>
      <c r="X55" s="185">
        <f>+'[38]EEFF_TE_Chi (Final)'!X55</f>
        <v>1526</v>
      </c>
    </row>
    <row r="56" spans="1:24" ht="15.5">
      <c r="A56" s="143"/>
      <c r="B56" s="134"/>
      <c r="C56" s="187"/>
      <c r="D56" s="187"/>
      <c r="E56" s="187"/>
      <c r="F56" s="187"/>
      <c r="G56" s="187"/>
      <c r="H56" s="187"/>
      <c r="I56" s="187"/>
      <c r="J56" s="187"/>
      <c r="K56" s="187"/>
      <c r="L56" s="187"/>
      <c r="M56" s="187"/>
      <c r="N56" s="187"/>
      <c r="O56" s="187">
        <v>0</v>
      </c>
      <c r="P56" s="46"/>
      <c r="Q56" s="46"/>
      <c r="S56" s="46">
        <v>0</v>
      </c>
      <c r="T56" s="46">
        <v>0</v>
      </c>
      <c r="V56" s="134"/>
      <c r="W56" s="46"/>
      <c r="X56" s="46">
        <f>+'[38]EEFF_TE_Chi (Final)'!X56</f>
        <v>0</v>
      </c>
    </row>
    <row r="57" spans="1:24" ht="15.5">
      <c r="A57" s="143"/>
      <c r="B57" s="188" t="s">
        <v>79</v>
      </c>
      <c r="C57" s="189"/>
      <c r="D57" s="189"/>
      <c r="E57" s="189"/>
      <c r="F57" s="189"/>
      <c r="G57" s="189"/>
      <c r="H57" s="189"/>
      <c r="I57" s="189"/>
      <c r="J57" s="189"/>
      <c r="K57" s="189"/>
      <c r="L57" s="189"/>
      <c r="M57" s="189"/>
      <c r="N57" s="189"/>
      <c r="O57" s="189">
        <v>0</v>
      </c>
      <c r="P57" s="189"/>
      <c r="Q57" s="189"/>
      <c r="R57" s="189"/>
      <c r="S57" s="189">
        <v>0</v>
      </c>
      <c r="T57" s="189">
        <v>0</v>
      </c>
      <c r="V57" s="188" t="s">
        <v>79</v>
      </c>
      <c r="W57" s="189"/>
      <c r="X57" s="189">
        <f>+'[38]EEFF_TE_Chi (Final)'!X57</f>
        <v>0</v>
      </c>
    </row>
    <row r="58" spans="1:24" ht="15.5">
      <c r="A58" s="143"/>
      <c r="B58" s="181" t="s">
        <v>80</v>
      </c>
      <c r="C58" s="190"/>
      <c r="D58" s="190"/>
      <c r="E58" s="190"/>
      <c r="F58" s="190"/>
      <c r="G58" s="190"/>
      <c r="H58" s="190"/>
      <c r="I58" s="190"/>
      <c r="J58" s="190"/>
      <c r="K58" s="190"/>
      <c r="L58" s="190"/>
      <c r="M58" s="190"/>
      <c r="N58" s="190"/>
      <c r="O58" s="190">
        <v>0</v>
      </c>
      <c r="P58" s="190"/>
      <c r="Q58" s="190"/>
      <c r="R58" s="190"/>
      <c r="S58" s="190">
        <v>0</v>
      </c>
      <c r="T58" s="190">
        <v>0</v>
      </c>
      <c r="V58" s="181" t="s">
        <v>80</v>
      </c>
      <c r="W58" s="190"/>
      <c r="X58" s="190">
        <f>+'[38]EEFF_TE_Chi (Final)'!X58</f>
        <v>0</v>
      </c>
    </row>
    <row r="59" spans="1:24" s="42" customFormat="1" ht="15.5">
      <c r="A59" s="193"/>
      <c r="B59" s="183" t="s">
        <v>81</v>
      </c>
      <c r="C59" s="184">
        <v>0</v>
      </c>
      <c r="D59" s="184">
        <v>0</v>
      </c>
      <c r="E59" s="184">
        <v>-18</v>
      </c>
      <c r="F59" s="184">
        <v>0</v>
      </c>
      <c r="G59" s="184">
        <v>0</v>
      </c>
      <c r="H59" s="184">
        <v>0</v>
      </c>
      <c r="I59" s="184">
        <v>0</v>
      </c>
      <c r="J59" s="184">
        <v>0</v>
      </c>
      <c r="K59" s="184">
        <v>0</v>
      </c>
      <c r="L59" s="184">
        <v>0</v>
      </c>
      <c r="M59" s="184">
        <v>0</v>
      </c>
      <c r="N59" s="184">
        <v>0</v>
      </c>
      <c r="O59" s="184">
        <v>0</v>
      </c>
      <c r="P59" s="184">
        <v>-8</v>
      </c>
      <c r="Q59" s="184">
        <v>-7</v>
      </c>
      <c r="R59" s="184">
        <v>-6</v>
      </c>
      <c r="S59" s="184">
        <v>0</v>
      </c>
      <c r="T59" s="184">
        <v>0</v>
      </c>
      <c r="V59" s="183" t="s">
        <v>81</v>
      </c>
      <c r="W59" s="184">
        <v>0</v>
      </c>
      <c r="X59" s="184">
        <f>+'[38]EEFF_TE_Chi (Final)'!X59</f>
        <v>0</v>
      </c>
    </row>
    <row r="60" spans="1:24" s="42" customFormat="1" ht="15.5">
      <c r="A60" s="193"/>
      <c r="B60" s="183" t="s">
        <v>82</v>
      </c>
      <c r="C60" s="184">
        <v>5</v>
      </c>
      <c r="D60" s="184">
        <v>17</v>
      </c>
      <c r="E60" s="184">
        <v>14</v>
      </c>
      <c r="F60" s="184">
        <v>12</v>
      </c>
      <c r="G60" s="184">
        <v>9</v>
      </c>
      <c r="H60" s="184">
        <v>7</v>
      </c>
      <c r="I60" s="184">
        <v>3</v>
      </c>
      <c r="J60" s="184">
        <v>3</v>
      </c>
      <c r="K60" s="184">
        <v>10</v>
      </c>
      <c r="L60" s="184">
        <v>1</v>
      </c>
      <c r="M60" s="184">
        <v>2</v>
      </c>
      <c r="N60" s="184">
        <v>3</v>
      </c>
      <c r="O60" s="184">
        <v>8.4450000000000003</v>
      </c>
      <c r="P60" s="184">
        <v>4</v>
      </c>
      <c r="Q60" s="184">
        <v>4</v>
      </c>
      <c r="R60" s="184">
        <v>6</v>
      </c>
      <c r="S60" s="184">
        <v>10</v>
      </c>
      <c r="T60" s="184">
        <v>6</v>
      </c>
      <c r="V60" s="183" t="s">
        <v>82</v>
      </c>
      <c r="W60" s="184">
        <v>6</v>
      </c>
      <c r="X60" s="184">
        <f>+'[38]EEFF_TE_Chi (Final)'!X60</f>
        <v>10</v>
      </c>
    </row>
    <row r="61" spans="1:24" s="42" customFormat="1" ht="15.5">
      <c r="A61" s="193"/>
      <c r="B61" s="183" t="s">
        <v>84</v>
      </c>
      <c r="C61" s="184">
        <v>0</v>
      </c>
      <c r="D61" s="184">
        <v>1</v>
      </c>
      <c r="E61" s="184">
        <v>0</v>
      </c>
      <c r="F61" s="184">
        <v>0</v>
      </c>
      <c r="G61" s="184">
        <v>0</v>
      </c>
      <c r="H61" s="184">
        <v>0</v>
      </c>
      <c r="I61" s="184">
        <v>1</v>
      </c>
      <c r="J61" s="184">
        <v>1</v>
      </c>
      <c r="K61" s="184">
        <v>2</v>
      </c>
      <c r="L61" s="184">
        <v>0</v>
      </c>
      <c r="M61" s="184">
        <v>1</v>
      </c>
      <c r="N61" s="184">
        <v>1</v>
      </c>
      <c r="O61" s="184">
        <v>0.216</v>
      </c>
      <c r="P61" s="184">
        <v>0</v>
      </c>
      <c r="Q61" s="184"/>
      <c r="R61" s="184">
        <v>0</v>
      </c>
      <c r="S61" s="184">
        <v>0</v>
      </c>
      <c r="T61" s="184">
        <v>0</v>
      </c>
      <c r="V61" s="183" t="s">
        <v>84</v>
      </c>
      <c r="W61" s="184">
        <v>0</v>
      </c>
      <c r="X61" s="184">
        <f>+'[38]EEFF_TE_Chi (Final)'!X61</f>
        <v>0</v>
      </c>
    </row>
    <row r="62" spans="1:24" s="42" customFormat="1" ht="15.5">
      <c r="A62" s="193"/>
      <c r="B62" s="183" t="s">
        <v>59</v>
      </c>
      <c r="C62" s="184">
        <v>23</v>
      </c>
      <c r="D62" s="184">
        <v>3</v>
      </c>
      <c r="E62" s="184">
        <v>0</v>
      </c>
      <c r="F62" s="184">
        <v>1</v>
      </c>
      <c r="G62" s="184">
        <v>1</v>
      </c>
      <c r="H62" s="184">
        <v>1</v>
      </c>
      <c r="I62" s="184">
        <v>2</v>
      </c>
      <c r="J62" s="184">
        <v>1</v>
      </c>
      <c r="K62" s="184">
        <v>1</v>
      </c>
      <c r="L62" s="184">
        <v>1</v>
      </c>
      <c r="M62" s="184">
        <v>1</v>
      </c>
      <c r="N62" s="184">
        <v>1</v>
      </c>
      <c r="O62" s="184">
        <v>1.099</v>
      </c>
      <c r="P62" s="184">
        <v>3</v>
      </c>
      <c r="Q62" s="184">
        <v>2</v>
      </c>
      <c r="R62" s="184">
        <v>2</v>
      </c>
      <c r="S62" s="184">
        <v>0</v>
      </c>
      <c r="T62" s="184">
        <v>1</v>
      </c>
      <c r="V62" s="183" t="s">
        <v>59</v>
      </c>
      <c r="W62" s="184">
        <v>1</v>
      </c>
      <c r="X62" s="184">
        <f>+'[38]EEFF_TE_Chi (Final)'!X62</f>
        <v>3</v>
      </c>
    </row>
    <row r="63" spans="1:24" s="42" customFormat="1" ht="15.5">
      <c r="A63" s="193"/>
      <c r="B63" s="183" t="s">
        <v>85</v>
      </c>
      <c r="C63" s="184">
        <v>0</v>
      </c>
      <c r="D63" s="184">
        <v>0</v>
      </c>
      <c r="E63" s="184">
        <v>0</v>
      </c>
      <c r="F63" s="184">
        <v>0</v>
      </c>
      <c r="G63" s="184">
        <v>0</v>
      </c>
      <c r="H63" s="184">
        <v>6</v>
      </c>
      <c r="I63" s="184">
        <v>9</v>
      </c>
      <c r="J63" s="184">
        <v>3</v>
      </c>
      <c r="K63" s="184">
        <v>2</v>
      </c>
      <c r="L63" s="184">
        <v>125</v>
      </c>
      <c r="M63" s="184">
        <v>44</v>
      </c>
      <c r="N63" s="184">
        <v>31</v>
      </c>
      <c r="O63" s="184">
        <v>24.690999999999999</v>
      </c>
      <c r="P63" s="184">
        <v>59</v>
      </c>
      <c r="Q63" s="184">
        <v>55</v>
      </c>
      <c r="R63" s="184">
        <v>52</v>
      </c>
      <c r="S63" s="184">
        <v>37</v>
      </c>
      <c r="T63" s="184">
        <v>29</v>
      </c>
      <c r="V63" s="183" t="s">
        <v>85</v>
      </c>
      <c r="W63" s="184">
        <v>27</v>
      </c>
      <c r="X63" s="184">
        <f>+'[38]EEFF_TE_Chi (Final)'!X63</f>
        <v>12</v>
      </c>
    </row>
    <row r="64" spans="1:24" s="42" customFormat="1" ht="15.5">
      <c r="A64" s="193"/>
      <c r="B64" s="183" t="s">
        <v>83</v>
      </c>
      <c r="C64" s="184">
        <v>0</v>
      </c>
      <c r="D64" s="184">
        <v>0</v>
      </c>
      <c r="E64" s="184">
        <v>0</v>
      </c>
      <c r="F64" s="184">
        <v>0</v>
      </c>
      <c r="G64" s="184">
        <v>0</v>
      </c>
      <c r="H64" s="184">
        <v>1</v>
      </c>
      <c r="I64" s="184">
        <v>1</v>
      </c>
      <c r="J64" s="184">
        <v>1</v>
      </c>
      <c r="K64" s="184">
        <v>1</v>
      </c>
      <c r="L64" s="184">
        <v>0</v>
      </c>
      <c r="M64" s="184">
        <v>79</v>
      </c>
      <c r="N64" s="184">
        <v>78</v>
      </c>
      <c r="O64" s="184">
        <v>78.554000000000002</v>
      </c>
      <c r="P64" s="184">
        <v>79</v>
      </c>
      <c r="Q64" s="184">
        <v>79</v>
      </c>
      <c r="R64" s="184">
        <v>78</v>
      </c>
      <c r="S64" s="184">
        <v>0</v>
      </c>
      <c r="T64" s="184">
        <v>0</v>
      </c>
      <c r="V64" s="183" t="s">
        <v>83</v>
      </c>
      <c r="W64" s="184">
        <v>0</v>
      </c>
      <c r="X64" s="184">
        <f>+'[38]EEFF_TE_Chi (Final)'!X64</f>
        <v>0</v>
      </c>
    </row>
    <row r="65" spans="1:24" s="42" customFormat="1" ht="15.5">
      <c r="A65" s="193"/>
      <c r="B65" s="183" t="s">
        <v>86</v>
      </c>
      <c r="C65" s="184">
        <v>0</v>
      </c>
      <c r="D65" s="184">
        <v>0</v>
      </c>
      <c r="E65" s="184">
        <v>0</v>
      </c>
      <c r="F65" s="184">
        <v>0</v>
      </c>
      <c r="G65" s="184">
        <v>0</v>
      </c>
      <c r="H65" s="184">
        <v>0</v>
      </c>
      <c r="I65" s="184">
        <v>0</v>
      </c>
      <c r="J65" s="184">
        <v>0</v>
      </c>
      <c r="K65" s="184">
        <v>0</v>
      </c>
      <c r="L65" s="184">
        <v>0</v>
      </c>
      <c r="M65" s="184">
        <v>0</v>
      </c>
      <c r="N65" s="184">
        <v>0</v>
      </c>
      <c r="O65" s="184">
        <v>0</v>
      </c>
      <c r="P65" s="184"/>
      <c r="Q65" s="184"/>
      <c r="R65" s="184">
        <v>0</v>
      </c>
      <c r="S65" s="184">
        <v>0</v>
      </c>
      <c r="T65" s="184">
        <v>0</v>
      </c>
      <c r="V65" s="183" t="s">
        <v>86</v>
      </c>
      <c r="W65" s="184">
        <v>0</v>
      </c>
      <c r="X65" s="184">
        <f>+'[38]EEFF_TE_Chi (Final)'!X65</f>
        <v>0</v>
      </c>
    </row>
    <row r="66" spans="1:24" s="42" customFormat="1" ht="15.5">
      <c r="A66" s="193"/>
      <c r="B66" s="183" t="s">
        <v>115</v>
      </c>
      <c r="C66" s="184">
        <v>0</v>
      </c>
      <c r="D66" s="184">
        <v>0</v>
      </c>
      <c r="E66" s="184">
        <v>0</v>
      </c>
      <c r="F66" s="184">
        <v>0</v>
      </c>
      <c r="G66" s="184">
        <v>0</v>
      </c>
      <c r="H66" s="184">
        <v>0</v>
      </c>
      <c r="I66" s="184">
        <v>0</v>
      </c>
      <c r="J66" s="184">
        <v>0</v>
      </c>
      <c r="K66" s="184">
        <v>0</v>
      </c>
      <c r="L66" s="184">
        <v>0</v>
      </c>
      <c r="M66" s="184">
        <v>0</v>
      </c>
      <c r="N66" s="184">
        <v>0</v>
      </c>
      <c r="O66" s="184">
        <v>0</v>
      </c>
      <c r="P66" s="184"/>
      <c r="Q66" s="184"/>
      <c r="R66" s="184">
        <v>0</v>
      </c>
      <c r="S66" s="184">
        <v>0</v>
      </c>
      <c r="T66" s="184">
        <v>0</v>
      </c>
      <c r="V66" s="183" t="s">
        <v>115</v>
      </c>
      <c r="W66" s="184">
        <v>0</v>
      </c>
      <c r="X66" s="184">
        <f>+'[38]EEFF_TE_Chi (Final)'!X66</f>
        <v>0</v>
      </c>
    </row>
    <row r="67" spans="1:24" ht="15.5">
      <c r="A67" s="143"/>
      <c r="B67" s="181" t="s">
        <v>88</v>
      </c>
      <c r="C67" s="186">
        <f t="shared" ref="C67:N67" si="5">SUM(C59:C66)</f>
        <v>28</v>
      </c>
      <c r="D67" s="186">
        <f t="shared" si="5"/>
        <v>21</v>
      </c>
      <c r="E67" s="186">
        <f t="shared" si="5"/>
        <v>-4</v>
      </c>
      <c r="F67" s="186">
        <f t="shared" si="5"/>
        <v>13</v>
      </c>
      <c r="G67" s="186">
        <f t="shared" si="5"/>
        <v>10</v>
      </c>
      <c r="H67" s="186">
        <f t="shared" si="5"/>
        <v>15</v>
      </c>
      <c r="I67" s="186">
        <f t="shared" si="5"/>
        <v>16</v>
      </c>
      <c r="J67" s="186">
        <f t="shared" si="5"/>
        <v>9</v>
      </c>
      <c r="K67" s="186">
        <f t="shared" si="5"/>
        <v>16</v>
      </c>
      <c r="L67" s="186">
        <f t="shared" si="5"/>
        <v>127</v>
      </c>
      <c r="M67" s="186">
        <f t="shared" si="5"/>
        <v>127</v>
      </c>
      <c r="N67" s="186">
        <f t="shared" si="5"/>
        <v>114</v>
      </c>
      <c r="O67" s="186">
        <v>113.005</v>
      </c>
      <c r="P67" s="186">
        <f>SUM(P59:P66)</f>
        <v>137</v>
      </c>
      <c r="Q67" s="186">
        <v>133</v>
      </c>
      <c r="R67" s="186">
        <v>132</v>
      </c>
      <c r="S67" s="186">
        <v>47</v>
      </c>
      <c r="T67" s="186">
        <v>36</v>
      </c>
      <c r="V67" s="181" t="s">
        <v>88</v>
      </c>
      <c r="W67" s="186">
        <v>34</v>
      </c>
      <c r="X67" s="186">
        <f>+'[38]EEFF_TE_Chi (Final)'!X67</f>
        <v>25</v>
      </c>
    </row>
    <row r="68" spans="1:24" ht="15.5">
      <c r="A68" s="143"/>
      <c r="B68" s="191" t="s">
        <v>89</v>
      </c>
      <c r="C68" s="192"/>
      <c r="D68" s="192"/>
      <c r="E68" s="192"/>
      <c r="F68" s="192"/>
      <c r="G68" s="192"/>
      <c r="H68" s="192"/>
      <c r="I68" s="192"/>
      <c r="J68" s="192"/>
      <c r="K68" s="192"/>
      <c r="L68" s="192"/>
      <c r="M68" s="192"/>
      <c r="N68" s="192"/>
      <c r="O68" s="192">
        <v>0</v>
      </c>
      <c r="P68" s="192"/>
      <c r="Q68" s="192"/>
      <c r="R68" s="192"/>
      <c r="S68" s="192">
        <v>0</v>
      </c>
      <c r="T68" s="192">
        <v>0</v>
      </c>
      <c r="V68" s="191" t="s">
        <v>89</v>
      </c>
      <c r="W68" s="192"/>
      <c r="X68" s="192">
        <f>+'[38]EEFF_TE_Chi (Final)'!X68</f>
        <v>0</v>
      </c>
    </row>
    <row r="69" spans="1:24" s="42" customFormat="1" ht="15.5">
      <c r="A69" s="193"/>
      <c r="B69" s="183" t="s">
        <v>81</v>
      </c>
      <c r="C69" s="184">
        <v>228</v>
      </c>
      <c r="D69" s="184">
        <v>425</v>
      </c>
      <c r="E69" s="184">
        <v>506</v>
      </c>
      <c r="F69" s="184">
        <v>566</v>
      </c>
      <c r="G69" s="184">
        <v>557</v>
      </c>
      <c r="H69" s="184">
        <v>666</v>
      </c>
      <c r="I69" s="184">
        <v>669</v>
      </c>
      <c r="J69" s="184">
        <v>695</v>
      </c>
      <c r="K69" s="184">
        <v>712</v>
      </c>
      <c r="L69" s="184">
        <v>686</v>
      </c>
      <c r="M69" s="184">
        <v>746</v>
      </c>
      <c r="N69" s="184">
        <v>833</v>
      </c>
      <c r="O69" s="184">
        <v>822.98400000000004</v>
      </c>
      <c r="P69" s="184">
        <v>815</v>
      </c>
      <c r="Q69" s="184">
        <v>770</v>
      </c>
      <c r="R69" s="184">
        <v>776</v>
      </c>
      <c r="S69" s="184">
        <v>1196</v>
      </c>
      <c r="T69" s="184">
        <v>1185</v>
      </c>
      <c r="V69" s="183" t="s">
        <v>81</v>
      </c>
      <c r="W69" s="184">
        <v>1198</v>
      </c>
      <c r="X69" s="184">
        <f>+'[38]EEFF_TE_Chi (Final)'!X69</f>
        <v>1185</v>
      </c>
    </row>
    <row r="70" spans="1:24" s="42" customFormat="1" ht="15.5">
      <c r="A70" s="193"/>
      <c r="B70" s="183" t="s">
        <v>82</v>
      </c>
      <c r="C70" s="184">
        <v>0</v>
      </c>
      <c r="D70" s="184">
        <v>0</v>
      </c>
      <c r="E70" s="184">
        <v>0</v>
      </c>
      <c r="F70" s="184">
        <v>0</v>
      </c>
      <c r="G70" s="184">
        <v>0</v>
      </c>
      <c r="H70" s="184">
        <v>0</v>
      </c>
      <c r="I70" s="184">
        <v>0</v>
      </c>
      <c r="J70" s="184">
        <v>0</v>
      </c>
      <c r="K70" s="184">
        <v>1</v>
      </c>
      <c r="L70" s="184">
        <v>1</v>
      </c>
      <c r="M70" s="184">
        <v>1</v>
      </c>
      <c r="N70" s="184">
        <v>1</v>
      </c>
      <c r="O70" s="184">
        <v>1.014</v>
      </c>
      <c r="P70" s="184">
        <v>1</v>
      </c>
      <c r="Q70" s="184">
        <v>1</v>
      </c>
      <c r="R70" s="184">
        <v>1</v>
      </c>
      <c r="S70" s="184">
        <v>0</v>
      </c>
      <c r="T70" s="184">
        <v>0</v>
      </c>
      <c r="V70" s="183" t="s">
        <v>82</v>
      </c>
      <c r="W70" s="184">
        <v>0</v>
      </c>
      <c r="X70" s="184">
        <f>+'[38]EEFF_TE_Chi (Final)'!X70</f>
        <v>6</v>
      </c>
    </row>
    <row r="71" spans="1:24" s="42" customFormat="1" ht="15.5">
      <c r="A71" s="193"/>
      <c r="B71" s="183" t="s">
        <v>90</v>
      </c>
      <c r="C71" s="184">
        <v>0</v>
      </c>
      <c r="D71" s="184">
        <v>0</v>
      </c>
      <c r="E71" s="184">
        <v>0</v>
      </c>
      <c r="F71" s="184">
        <v>0</v>
      </c>
      <c r="G71" s="184">
        <v>0</v>
      </c>
      <c r="H71" s="184">
        <v>0</v>
      </c>
      <c r="I71" s="184">
        <v>0</v>
      </c>
      <c r="J71" s="184">
        <v>0</v>
      </c>
      <c r="K71" s="184">
        <v>0</v>
      </c>
      <c r="L71" s="184">
        <v>0</v>
      </c>
      <c r="M71" s="184">
        <v>0</v>
      </c>
      <c r="N71" s="184">
        <v>0</v>
      </c>
      <c r="O71" s="184">
        <v>0</v>
      </c>
      <c r="P71" s="184"/>
      <c r="Q71" s="184"/>
      <c r="R71" s="184">
        <v>0</v>
      </c>
      <c r="S71" s="184">
        <v>0</v>
      </c>
      <c r="T71" s="184">
        <v>0</v>
      </c>
      <c r="V71" s="183" t="s">
        <v>90</v>
      </c>
      <c r="W71" s="184">
        <v>0</v>
      </c>
      <c r="X71" s="184">
        <f>+'[38]EEFF_TE_Chi (Final)'!X71</f>
        <v>0</v>
      </c>
    </row>
    <row r="72" spans="1:24" s="42" customFormat="1" ht="15.5">
      <c r="A72" s="193"/>
      <c r="B72" s="183" t="s">
        <v>84</v>
      </c>
      <c r="C72" s="184">
        <v>0</v>
      </c>
      <c r="D72" s="184">
        <v>0</v>
      </c>
      <c r="E72" s="184">
        <v>0</v>
      </c>
      <c r="F72" s="184">
        <v>0</v>
      </c>
      <c r="G72" s="184">
        <v>0</v>
      </c>
      <c r="H72" s="184">
        <v>0</v>
      </c>
      <c r="I72" s="184">
        <v>0</v>
      </c>
      <c r="J72" s="184">
        <v>0</v>
      </c>
      <c r="K72" s="184">
        <v>0</v>
      </c>
      <c r="L72" s="184">
        <v>0</v>
      </c>
      <c r="M72" s="184">
        <v>0</v>
      </c>
      <c r="N72" s="184">
        <v>0</v>
      </c>
      <c r="O72" s="184">
        <v>0</v>
      </c>
      <c r="P72" s="184"/>
      <c r="Q72" s="184"/>
      <c r="R72" s="184">
        <v>0</v>
      </c>
      <c r="S72" s="184">
        <v>0</v>
      </c>
      <c r="T72" s="184">
        <v>0</v>
      </c>
      <c r="V72" s="183" t="s">
        <v>84</v>
      </c>
      <c r="W72" s="184">
        <v>0</v>
      </c>
      <c r="X72" s="184">
        <f>+'[38]EEFF_TE_Chi (Final)'!X72</f>
        <v>0</v>
      </c>
    </row>
    <row r="73" spans="1:24" s="42" customFormat="1" ht="15.5">
      <c r="A73" s="193"/>
      <c r="B73" s="183" t="s">
        <v>85</v>
      </c>
      <c r="C73" s="184">
        <v>0</v>
      </c>
      <c r="D73" s="184">
        <v>0</v>
      </c>
      <c r="E73" s="184">
        <v>0</v>
      </c>
      <c r="F73" s="184">
        <v>0</v>
      </c>
      <c r="G73" s="184">
        <v>0</v>
      </c>
      <c r="H73" s="184">
        <v>0</v>
      </c>
      <c r="I73" s="184">
        <v>0</v>
      </c>
      <c r="J73" s="184">
        <v>0</v>
      </c>
      <c r="K73" s="184">
        <v>0</v>
      </c>
      <c r="L73" s="184">
        <v>0</v>
      </c>
      <c r="M73" s="184">
        <v>0</v>
      </c>
      <c r="N73" s="184">
        <v>0</v>
      </c>
      <c r="O73" s="184">
        <v>0</v>
      </c>
      <c r="P73" s="184"/>
      <c r="Q73" s="184"/>
      <c r="R73" s="184">
        <v>0</v>
      </c>
      <c r="S73" s="184">
        <v>0</v>
      </c>
      <c r="T73" s="184">
        <v>0</v>
      </c>
      <c r="V73" s="183" t="s">
        <v>85</v>
      </c>
      <c r="W73" s="184">
        <v>0</v>
      </c>
      <c r="X73" s="184">
        <f>+'[38]EEFF_TE_Chi (Final)'!X73</f>
        <v>0</v>
      </c>
    </row>
    <row r="74" spans="1:24" s="42" customFormat="1" ht="15.5">
      <c r="A74" s="193"/>
      <c r="B74" s="183" t="s">
        <v>86</v>
      </c>
      <c r="C74" s="184">
        <v>0</v>
      </c>
      <c r="D74" s="184">
        <v>0</v>
      </c>
      <c r="E74" s="184">
        <v>0</v>
      </c>
      <c r="F74" s="184">
        <v>0</v>
      </c>
      <c r="G74" s="184">
        <v>0</v>
      </c>
      <c r="H74" s="184">
        <v>0</v>
      </c>
      <c r="I74" s="184">
        <v>0</v>
      </c>
      <c r="J74" s="184">
        <v>0</v>
      </c>
      <c r="K74" s="184">
        <v>0</v>
      </c>
      <c r="L74" s="184">
        <v>0</v>
      </c>
      <c r="M74" s="184">
        <v>0</v>
      </c>
      <c r="N74" s="184">
        <v>0</v>
      </c>
      <c r="O74" s="184">
        <v>0</v>
      </c>
      <c r="P74" s="184"/>
      <c r="Q74" s="184"/>
      <c r="R74" s="184">
        <v>0</v>
      </c>
      <c r="S74" s="184">
        <v>0</v>
      </c>
      <c r="T74" s="184">
        <v>0</v>
      </c>
      <c r="V74" s="183" t="s">
        <v>86</v>
      </c>
      <c r="W74" s="184">
        <v>0</v>
      </c>
      <c r="X74" s="184">
        <f>+'[38]EEFF_TE_Chi (Final)'!X74</f>
        <v>0</v>
      </c>
    </row>
    <row r="75" spans="1:24" s="42" customFormat="1" ht="15.5">
      <c r="A75" s="193"/>
      <c r="B75" s="183" t="s">
        <v>116</v>
      </c>
      <c r="C75" s="184">
        <v>11</v>
      </c>
      <c r="D75" s="184">
        <v>19</v>
      </c>
      <c r="E75" s="184">
        <v>25</v>
      </c>
      <c r="F75" s="184">
        <v>27</v>
      </c>
      <c r="G75" s="184">
        <v>29</v>
      </c>
      <c r="H75" s="184">
        <v>42</v>
      </c>
      <c r="I75" s="184">
        <v>49</v>
      </c>
      <c r="J75" s="184">
        <v>49</v>
      </c>
      <c r="K75" s="184">
        <v>62</v>
      </c>
      <c r="L75" s="184">
        <v>79</v>
      </c>
      <c r="M75" s="184">
        <v>91</v>
      </c>
      <c r="N75" s="184">
        <v>103</v>
      </c>
      <c r="O75" s="184">
        <v>113.545</v>
      </c>
      <c r="P75" s="184">
        <v>124</v>
      </c>
      <c r="Q75" s="184">
        <v>132</v>
      </c>
      <c r="R75" s="184">
        <v>142</v>
      </c>
      <c r="S75" s="184">
        <v>155</v>
      </c>
      <c r="T75" s="184">
        <v>164</v>
      </c>
      <c r="V75" s="183" t="s">
        <v>116</v>
      </c>
      <c r="W75" s="184">
        <v>0</v>
      </c>
      <c r="X75" s="184">
        <f>+'[38]EEFF_TE_Chi (Final)'!X75</f>
        <v>0</v>
      </c>
    </row>
    <row r="76" spans="1:24" ht="15.5">
      <c r="A76" s="143"/>
      <c r="B76" s="181" t="s">
        <v>91</v>
      </c>
      <c r="C76" s="186">
        <f t="shared" ref="C76:N76" si="6">SUM(C69:C75)</f>
        <v>239</v>
      </c>
      <c r="D76" s="186">
        <f t="shared" si="6"/>
        <v>444</v>
      </c>
      <c r="E76" s="186">
        <f t="shared" si="6"/>
        <v>531</v>
      </c>
      <c r="F76" s="186">
        <f t="shared" si="6"/>
        <v>593</v>
      </c>
      <c r="G76" s="186">
        <f t="shared" si="6"/>
        <v>586</v>
      </c>
      <c r="H76" s="186">
        <f t="shared" si="6"/>
        <v>708</v>
      </c>
      <c r="I76" s="186">
        <f t="shared" si="6"/>
        <v>718</v>
      </c>
      <c r="J76" s="186">
        <f t="shared" si="6"/>
        <v>744</v>
      </c>
      <c r="K76" s="186">
        <f t="shared" si="6"/>
        <v>775</v>
      </c>
      <c r="L76" s="186">
        <f t="shared" si="6"/>
        <v>766</v>
      </c>
      <c r="M76" s="186">
        <f t="shared" si="6"/>
        <v>838</v>
      </c>
      <c r="N76" s="186">
        <f t="shared" si="6"/>
        <v>937</v>
      </c>
      <c r="O76" s="186">
        <v>937.54300000000001</v>
      </c>
      <c r="P76" s="186">
        <f>SUM(P69:P75)</f>
        <v>940</v>
      </c>
      <c r="Q76" s="186">
        <v>903</v>
      </c>
      <c r="R76" s="186">
        <v>919</v>
      </c>
      <c r="S76" s="186">
        <v>1351</v>
      </c>
      <c r="T76" s="186">
        <v>1349</v>
      </c>
      <c r="V76" s="181" t="s">
        <v>91</v>
      </c>
      <c r="W76" s="186">
        <v>1198</v>
      </c>
      <c r="X76" s="186">
        <f>+'[38]EEFF_TE_Chi (Final)'!X76</f>
        <v>1191</v>
      </c>
    </row>
    <row r="77" spans="1:24" ht="15.5">
      <c r="A77" s="143"/>
      <c r="B77" s="132" t="s">
        <v>92</v>
      </c>
      <c r="C77" s="185">
        <f t="shared" ref="C77:N77" si="7">+C67+C76</f>
        <v>267</v>
      </c>
      <c r="D77" s="185">
        <f t="shared" si="7"/>
        <v>465</v>
      </c>
      <c r="E77" s="185">
        <f t="shared" si="7"/>
        <v>527</v>
      </c>
      <c r="F77" s="185">
        <f t="shared" si="7"/>
        <v>606</v>
      </c>
      <c r="G77" s="185">
        <f t="shared" si="7"/>
        <v>596</v>
      </c>
      <c r="H77" s="185">
        <f t="shared" si="7"/>
        <v>723</v>
      </c>
      <c r="I77" s="185">
        <f t="shared" si="7"/>
        <v>734</v>
      </c>
      <c r="J77" s="185">
        <f t="shared" si="7"/>
        <v>753</v>
      </c>
      <c r="K77" s="185">
        <f t="shared" si="7"/>
        <v>791</v>
      </c>
      <c r="L77" s="185">
        <f t="shared" si="7"/>
        <v>893</v>
      </c>
      <c r="M77" s="185">
        <f t="shared" si="7"/>
        <v>965</v>
      </c>
      <c r="N77" s="185">
        <f t="shared" si="7"/>
        <v>1051</v>
      </c>
      <c r="O77" s="185">
        <v>1050.548</v>
      </c>
      <c r="P77" s="185">
        <f>+P76+P67</f>
        <v>1077</v>
      </c>
      <c r="Q77" s="185">
        <v>1036</v>
      </c>
      <c r="R77" s="185">
        <v>1051</v>
      </c>
      <c r="S77" s="185">
        <v>1398</v>
      </c>
      <c r="T77" s="185">
        <v>1385</v>
      </c>
      <c r="V77" s="132" t="s">
        <v>92</v>
      </c>
      <c r="W77" s="185">
        <v>1232</v>
      </c>
      <c r="X77" s="185">
        <f>+'[38]EEFF_TE_Chi (Final)'!X77</f>
        <v>1216</v>
      </c>
    </row>
    <row r="78" spans="1:24" ht="15.5">
      <c r="A78" s="143"/>
      <c r="B78" s="134"/>
      <c r="C78" s="187"/>
      <c r="D78" s="187"/>
      <c r="E78" s="187"/>
      <c r="F78" s="187"/>
      <c r="G78" s="187"/>
      <c r="H78" s="187"/>
      <c r="I78" s="187"/>
      <c r="J78" s="187"/>
      <c r="K78" s="187"/>
      <c r="L78" s="187"/>
      <c r="M78" s="187"/>
      <c r="N78" s="187"/>
      <c r="O78" s="187">
        <v>0</v>
      </c>
      <c r="P78" s="187"/>
      <c r="Q78" s="187"/>
      <c r="R78" s="187">
        <v>0</v>
      </c>
      <c r="S78" s="187">
        <v>0</v>
      </c>
      <c r="T78" s="187">
        <v>0</v>
      </c>
      <c r="V78" s="134"/>
      <c r="W78" s="187"/>
      <c r="X78" s="187">
        <f>+'[38]EEFF_TE_Chi (Final)'!X78</f>
        <v>0</v>
      </c>
    </row>
    <row r="79" spans="1:24" ht="15.5">
      <c r="A79" s="143"/>
      <c r="B79" s="191" t="s">
        <v>93</v>
      </c>
      <c r="C79" s="192"/>
      <c r="D79" s="192"/>
      <c r="E79" s="192"/>
      <c r="F79" s="192"/>
      <c r="G79" s="192"/>
      <c r="H79" s="192"/>
      <c r="I79" s="192"/>
      <c r="J79" s="192"/>
      <c r="K79" s="192"/>
      <c r="L79" s="192"/>
      <c r="M79" s="192"/>
      <c r="N79" s="192"/>
      <c r="O79" s="192"/>
      <c r="P79" s="192"/>
      <c r="Q79" s="192"/>
      <c r="R79" s="192"/>
      <c r="S79" s="192"/>
      <c r="T79" s="192"/>
      <c r="V79" s="191" t="s">
        <v>93</v>
      </c>
      <c r="W79" s="192"/>
      <c r="X79" s="192">
        <f>+'[38]EEFF_TE_Chi (Final)'!X79</f>
        <v>0</v>
      </c>
    </row>
    <row r="80" spans="1:24" s="42" customFormat="1" ht="15.5">
      <c r="A80" s="193"/>
      <c r="B80" s="183" t="s">
        <v>94</v>
      </c>
      <c r="C80" s="184">
        <v>320</v>
      </c>
      <c r="D80" s="184">
        <v>320</v>
      </c>
      <c r="E80" s="184">
        <v>320</v>
      </c>
      <c r="F80" s="184">
        <v>320</v>
      </c>
      <c r="G80" s="184">
        <v>331</v>
      </c>
      <c r="H80" s="184">
        <v>336</v>
      </c>
      <c r="I80" s="184">
        <v>343</v>
      </c>
      <c r="J80" s="184">
        <v>346</v>
      </c>
      <c r="K80" s="184">
        <v>346</v>
      </c>
      <c r="L80" s="184">
        <v>370</v>
      </c>
      <c r="M80" s="184">
        <v>370</v>
      </c>
      <c r="N80" s="184">
        <v>370</v>
      </c>
      <c r="O80" s="184">
        <v>370.13600000000002</v>
      </c>
      <c r="P80" s="184">
        <v>370</v>
      </c>
      <c r="Q80" s="184">
        <v>370</v>
      </c>
      <c r="R80" s="184">
        <v>370</v>
      </c>
      <c r="S80" s="184">
        <v>370</v>
      </c>
      <c r="T80" s="184">
        <v>370</v>
      </c>
      <c r="V80" s="183" t="s">
        <v>94</v>
      </c>
      <c r="W80" s="184">
        <v>370</v>
      </c>
      <c r="X80" s="184">
        <f>+'[38]EEFF_TE_Chi (Final)'!X80</f>
        <v>370</v>
      </c>
    </row>
    <row r="81" spans="1:24" s="42" customFormat="1" ht="15.5">
      <c r="A81" s="193"/>
      <c r="B81" s="183" t="s">
        <v>95</v>
      </c>
      <c r="C81" s="184">
        <v>0</v>
      </c>
      <c r="D81" s="184">
        <v>0</v>
      </c>
      <c r="E81" s="184">
        <v>0</v>
      </c>
      <c r="F81" s="184">
        <v>0</v>
      </c>
      <c r="G81" s="184">
        <v>0</v>
      </c>
      <c r="H81" s="184">
        <v>0</v>
      </c>
      <c r="I81" s="184">
        <v>0</v>
      </c>
      <c r="J81" s="184">
        <v>0</v>
      </c>
      <c r="K81" s="184">
        <v>0</v>
      </c>
      <c r="L81" s="184">
        <v>0</v>
      </c>
      <c r="M81" s="184">
        <v>0</v>
      </c>
      <c r="N81" s="184">
        <v>0</v>
      </c>
      <c r="O81" s="184">
        <v>0</v>
      </c>
      <c r="P81" s="184"/>
      <c r="Q81" s="184"/>
      <c r="R81" s="184">
        <v>0</v>
      </c>
      <c r="S81" s="184">
        <v>0</v>
      </c>
      <c r="T81" s="184">
        <v>0</v>
      </c>
      <c r="V81" s="183" t="s">
        <v>95</v>
      </c>
      <c r="W81" s="184">
        <v>0</v>
      </c>
      <c r="X81" s="184">
        <f>+'[38]EEFF_TE_Chi (Final)'!X81</f>
        <v>0</v>
      </c>
    </row>
    <row r="82" spans="1:24" s="42" customFormat="1" ht="15.5">
      <c r="A82" s="193"/>
      <c r="B82" s="183" t="s">
        <v>96</v>
      </c>
      <c r="C82" s="184">
        <v>-2</v>
      </c>
      <c r="D82" s="184">
        <v>-1</v>
      </c>
      <c r="E82" s="184">
        <v>-5</v>
      </c>
      <c r="F82" s="184">
        <v>-5</v>
      </c>
      <c r="G82" s="184">
        <v>-7</v>
      </c>
      <c r="H82" s="184">
        <v>0</v>
      </c>
      <c r="I82" s="184">
        <v>0</v>
      </c>
      <c r="J82" s="184">
        <v>0</v>
      </c>
      <c r="K82" s="184">
        <v>0</v>
      </c>
      <c r="L82" s="184">
        <v>0</v>
      </c>
      <c r="M82" s="184">
        <v>0</v>
      </c>
      <c r="N82" s="184">
        <v>0</v>
      </c>
      <c r="O82" s="184">
        <v>0.214</v>
      </c>
      <c r="P82" s="184"/>
      <c r="Q82" s="184"/>
      <c r="R82" s="184">
        <v>0</v>
      </c>
      <c r="S82" s="184">
        <v>0</v>
      </c>
      <c r="T82" s="184">
        <v>0</v>
      </c>
      <c r="V82" s="183" t="s">
        <v>96</v>
      </c>
      <c r="W82" s="184">
        <v>0</v>
      </c>
      <c r="X82" s="184">
        <f>+'[38]EEFF_TE_Chi (Final)'!X82</f>
        <v>0</v>
      </c>
    </row>
    <row r="83" spans="1:24" s="42" customFormat="1" ht="15.5">
      <c r="A83" s="193"/>
      <c r="B83" s="183" t="s">
        <v>97</v>
      </c>
      <c r="C83" s="184">
        <v>-1</v>
      </c>
      <c r="D83" s="184">
        <v>2</v>
      </c>
      <c r="E83" s="184">
        <v>-3</v>
      </c>
      <c r="F83" s="184">
        <v>-3</v>
      </c>
      <c r="G83" s="184">
        <v>-3</v>
      </c>
      <c r="H83" s="184">
        <v>-3</v>
      </c>
      <c r="I83" s="184">
        <v>8</v>
      </c>
      <c r="J83" s="184">
        <v>8</v>
      </c>
      <c r="K83" s="184">
        <v>8</v>
      </c>
      <c r="L83" s="184">
        <v>8</v>
      </c>
      <c r="M83" s="184">
        <v>20</v>
      </c>
      <c r="N83" s="184">
        <v>20</v>
      </c>
      <c r="O83" s="184">
        <v>19.891999999999999</v>
      </c>
      <c r="P83" s="184">
        <v>20</v>
      </c>
      <c r="Q83" s="184">
        <v>24</v>
      </c>
      <c r="R83" s="184">
        <v>23</v>
      </c>
      <c r="S83" s="184">
        <v>-55</v>
      </c>
      <c r="T83" s="184">
        <v>-55</v>
      </c>
      <c r="V83" s="183" t="s">
        <v>97</v>
      </c>
      <c r="W83" s="184">
        <v>-54</v>
      </c>
      <c r="X83" s="184">
        <f>+'[38]EEFF_TE_Chi (Final)'!X83</f>
        <v>-55</v>
      </c>
    </row>
    <row r="84" spans="1:24" s="42" customFormat="1" ht="15.5">
      <c r="A84" s="193"/>
      <c r="B84" s="183" t="s">
        <v>98</v>
      </c>
      <c r="C84" s="184">
        <v>3</v>
      </c>
      <c r="D84" s="184">
        <v>-4</v>
      </c>
      <c r="E84" s="184">
        <v>0</v>
      </c>
      <c r="F84" s="184">
        <v>-3</v>
      </c>
      <c r="G84" s="184">
        <v>5</v>
      </c>
      <c r="H84" s="184">
        <v>11</v>
      </c>
      <c r="I84" s="184">
        <v>2</v>
      </c>
      <c r="J84" s="184">
        <v>21</v>
      </c>
      <c r="K84" s="184">
        <v>28</v>
      </c>
      <c r="L84" s="184">
        <v>12</v>
      </c>
      <c r="M84" s="184">
        <v>-2</v>
      </c>
      <c r="N84" s="184">
        <v>-1</v>
      </c>
      <c r="O84" s="184">
        <v>-0.55300000000000005</v>
      </c>
      <c r="P84" s="184">
        <v>4</v>
      </c>
      <c r="Q84" s="184">
        <v>-1</v>
      </c>
      <c r="R84" s="184">
        <v>1</v>
      </c>
      <c r="S84" s="184">
        <v>1</v>
      </c>
      <c r="T84" s="184">
        <v>1</v>
      </c>
      <c r="V84" s="183" t="s">
        <v>98</v>
      </c>
      <c r="W84" s="184">
        <v>1</v>
      </c>
      <c r="X84" s="184">
        <f>+'[38]EEFF_TE_Chi (Final)'!X84</f>
        <v>-5</v>
      </c>
    </row>
    <row r="85" spans="1:24" s="42" customFormat="1" ht="15.5">
      <c r="A85" s="193"/>
      <c r="B85" s="183" t="s">
        <v>99</v>
      </c>
      <c r="C85" s="184">
        <v>8</v>
      </c>
      <c r="D85" s="184">
        <v>4</v>
      </c>
      <c r="E85" s="184">
        <v>18</v>
      </c>
      <c r="F85" s="184">
        <v>21</v>
      </c>
      <c r="G85" s="184">
        <v>28</v>
      </c>
      <c r="H85" s="184">
        <v>8</v>
      </c>
      <c r="I85" s="184">
        <v>-3</v>
      </c>
      <c r="J85" s="184">
        <v>-24</v>
      </c>
      <c r="K85" s="184">
        <v>-40</v>
      </c>
      <c r="L85" s="184">
        <v>-26</v>
      </c>
      <c r="M85" s="184">
        <v>-74</v>
      </c>
      <c r="N85" s="184">
        <v>-73</v>
      </c>
      <c r="O85" s="184">
        <v>-69.022000000000006</v>
      </c>
      <c r="P85" s="184">
        <v>-61</v>
      </c>
      <c r="Q85" s="184">
        <v>-32</v>
      </c>
      <c r="R85" s="184">
        <v>-41</v>
      </c>
      <c r="S85" s="184">
        <v>0</v>
      </c>
      <c r="T85" s="184">
        <v>0</v>
      </c>
      <c r="V85" s="183" t="s">
        <v>99</v>
      </c>
      <c r="W85" s="184">
        <v>0</v>
      </c>
      <c r="X85" s="184">
        <f>+'[38]EEFF_TE_Chi (Final)'!X85</f>
        <v>0</v>
      </c>
    </row>
    <row r="86" spans="1:24" ht="15.5">
      <c r="A86" s="143"/>
      <c r="B86" s="181" t="s">
        <v>102</v>
      </c>
      <c r="C86" s="186">
        <f t="shared" ref="C86:N86" si="8">SUM(C80:C85)</f>
        <v>328</v>
      </c>
      <c r="D86" s="186">
        <f t="shared" si="8"/>
        <v>321</v>
      </c>
      <c r="E86" s="186">
        <f t="shared" si="8"/>
        <v>330</v>
      </c>
      <c r="F86" s="186">
        <f t="shared" si="8"/>
        <v>330</v>
      </c>
      <c r="G86" s="186">
        <f t="shared" si="8"/>
        <v>354</v>
      </c>
      <c r="H86" s="186">
        <f t="shared" si="8"/>
        <v>352</v>
      </c>
      <c r="I86" s="186">
        <f t="shared" si="8"/>
        <v>350</v>
      </c>
      <c r="J86" s="186">
        <f t="shared" si="8"/>
        <v>351</v>
      </c>
      <c r="K86" s="186">
        <f t="shared" si="8"/>
        <v>342</v>
      </c>
      <c r="L86" s="186">
        <f t="shared" si="8"/>
        <v>364</v>
      </c>
      <c r="M86" s="186">
        <f t="shared" si="8"/>
        <v>314</v>
      </c>
      <c r="N86" s="186">
        <f t="shared" si="8"/>
        <v>316</v>
      </c>
      <c r="O86" s="186">
        <v>320.66699999999997</v>
      </c>
      <c r="P86" s="186">
        <f>SUM(P80:P85)</f>
        <v>333</v>
      </c>
      <c r="Q86" s="186">
        <v>361</v>
      </c>
      <c r="R86" s="186">
        <v>353</v>
      </c>
      <c r="S86" s="186">
        <v>316</v>
      </c>
      <c r="T86" s="186">
        <v>316</v>
      </c>
      <c r="V86" s="181" t="s">
        <v>102</v>
      </c>
      <c r="W86" s="186">
        <v>315</v>
      </c>
      <c r="X86" s="186">
        <f>+'[38]EEFF_TE_Chi (Final)'!X86</f>
        <v>310</v>
      </c>
    </row>
    <row r="87" spans="1:24" ht="15.5">
      <c r="A87" s="143"/>
      <c r="B87" s="132" t="s">
        <v>103</v>
      </c>
      <c r="C87" s="185">
        <f t="shared" ref="C87:N87" si="9">+C77+C86</f>
        <v>595</v>
      </c>
      <c r="D87" s="185">
        <f t="shared" si="9"/>
        <v>786</v>
      </c>
      <c r="E87" s="185">
        <f t="shared" si="9"/>
        <v>857</v>
      </c>
      <c r="F87" s="185">
        <f t="shared" si="9"/>
        <v>936</v>
      </c>
      <c r="G87" s="185">
        <f t="shared" si="9"/>
        <v>950</v>
      </c>
      <c r="H87" s="185">
        <f t="shared" si="9"/>
        <v>1075</v>
      </c>
      <c r="I87" s="185">
        <f t="shared" si="9"/>
        <v>1084</v>
      </c>
      <c r="J87" s="185">
        <f t="shared" si="9"/>
        <v>1104</v>
      </c>
      <c r="K87" s="185">
        <f t="shared" si="9"/>
        <v>1133</v>
      </c>
      <c r="L87" s="185">
        <f t="shared" si="9"/>
        <v>1257</v>
      </c>
      <c r="M87" s="185">
        <f t="shared" si="9"/>
        <v>1279</v>
      </c>
      <c r="N87" s="185">
        <f t="shared" si="9"/>
        <v>1367</v>
      </c>
      <c r="O87" s="185">
        <v>1371.2149999999999</v>
      </c>
      <c r="P87" s="185">
        <f>+P77+P86</f>
        <v>1410</v>
      </c>
      <c r="Q87" s="185">
        <v>1397</v>
      </c>
      <c r="R87" s="185">
        <v>1404</v>
      </c>
      <c r="S87" s="185">
        <v>1714</v>
      </c>
      <c r="T87" s="185">
        <v>1701</v>
      </c>
      <c r="V87" s="132" t="s">
        <v>103</v>
      </c>
      <c r="W87" s="185">
        <v>1547</v>
      </c>
      <c r="X87" s="185">
        <f>+'[38]EEFF_TE_Chi (Final)'!X87</f>
        <v>1526</v>
      </c>
    </row>
    <row r="88" spans="1:24" ht="15.5">
      <c r="A88" s="143"/>
      <c r="B88" s="143"/>
      <c r="C88" s="143"/>
      <c r="D88" s="143"/>
      <c r="E88" s="143"/>
      <c r="F88" s="143"/>
      <c r="G88" s="143"/>
      <c r="H88" s="143"/>
      <c r="I88" s="143"/>
      <c r="J88" s="143"/>
      <c r="K88" s="143"/>
      <c r="L88" s="143"/>
      <c r="M88" s="143"/>
      <c r="N88" s="143"/>
      <c r="O88" s="143"/>
    </row>
  </sheetData>
  <phoneticPr fontId="204" type="noConversion"/>
  <hyperlinks>
    <hyperlink ref="A1" location="Contenido!A1" display="Volver al Contenido" xr:uid="{5085CD7F-D4CA-44EC-9482-C75803AFF850}"/>
  </hyperlinks>
  <pageMargins left="0.7" right="0.7" top="0.75" bottom="0.75" header="0.3" footer="0.3"/>
  <pageSetup orientation="portrait" horizontalDpi="300" verticalDpi="300" r:id="rId1"/>
  <customProperties>
    <customPr name="_pios_id" r:id="rId2"/>
    <customPr name="EpmWorksheetKeyString_GU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CED92-AC05-48C3-93F5-4454DD01B2A2}">
  <dimension ref="A1:O94"/>
  <sheetViews>
    <sheetView showGridLines="0" zoomScaleNormal="100" workbookViewId="0">
      <pane xSplit="2" ySplit="6" topLeftCell="H52" activePane="bottomRight" state="frozen"/>
      <selection pane="topRight" activeCell="C1" sqref="C1"/>
      <selection pane="bottomLeft" activeCell="A7" sqref="A7"/>
      <selection pane="bottomRight"/>
    </sheetView>
  </sheetViews>
  <sheetFormatPr baseColWidth="10" defaultColWidth="11.453125" defaultRowHeight="14.5"/>
  <cols>
    <col min="1" max="1" width="2.81640625" style="46" customWidth="1"/>
    <col min="2" max="2" width="64.81640625" style="46" customWidth="1"/>
    <col min="3" max="3" width="14.453125" style="46" customWidth="1"/>
    <col min="4" max="5" width="13.7265625" style="46" customWidth="1"/>
    <col min="6" max="6" width="13.81640625" style="46" bestFit="1" customWidth="1"/>
    <col min="7" max="7" width="15.1796875" style="46" bestFit="1" customWidth="1"/>
    <col min="8" max="8" width="5.7265625" style="46" customWidth="1"/>
    <col min="9" max="9" width="48.26953125" style="46" bestFit="1" customWidth="1"/>
    <col min="10" max="11" width="13.81640625" style="46" bestFit="1" customWidth="1"/>
    <col min="12" max="15" width="11.453125" style="46"/>
    <col min="16" max="16" width="13.1796875" style="46" customWidth="1"/>
    <col min="17" max="16384" width="11.453125" style="46"/>
  </cols>
  <sheetData>
    <row r="1" spans="1:15">
      <c r="A1" s="2" t="s">
        <v>16</v>
      </c>
    </row>
    <row r="3" spans="1:15" ht="15.5">
      <c r="A3" s="143"/>
      <c r="B3" s="62" t="s">
        <v>876</v>
      </c>
      <c r="C3" s="33"/>
      <c r="D3" s="33"/>
      <c r="E3" s="33"/>
      <c r="F3" s="143"/>
      <c r="G3" s="685"/>
      <c r="H3" s="143"/>
      <c r="I3" s="143"/>
      <c r="J3" s="143"/>
      <c r="K3" s="143"/>
      <c r="L3" s="143"/>
      <c r="M3" s="143"/>
      <c r="N3" s="143"/>
      <c r="O3" s="143"/>
    </row>
    <row r="4" spans="1:15">
      <c r="B4" s="405" t="s">
        <v>18</v>
      </c>
      <c r="C4" s="5"/>
      <c r="D4" s="5"/>
      <c r="E4" s="5"/>
      <c r="G4" s="39"/>
    </row>
    <row r="5" spans="1:15" ht="15.5">
      <c r="B5" s="35"/>
      <c r="C5" s="35"/>
      <c r="D5" s="35"/>
      <c r="E5" s="35"/>
      <c r="F5" s="686"/>
      <c r="G5" s="39"/>
    </row>
    <row r="6" spans="1:15">
      <c r="B6" s="400"/>
      <c r="C6" s="401" t="s">
        <v>722</v>
      </c>
      <c r="D6" s="401" t="s">
        <v>739</v>
      </c>
      <c r="E6" s="401" t="s">
        <v>912</v>
      </c>
      <c r="F6" s="401" t="s">
        <v>1051</v>
      </c>
      <c r="G6" s="401" t="s">
        <v>1089</v>
      </c>
      <c r="J6" s="401" t="s">
        <v>1109</v>
      </c>
      <c r="K6" s="401" t="s">
        <v>1190</v>
      </c>
    </row>
    <row r="7" spans="1:15">
      <c r="B7" s="402"/>
      <c r="C7" s="403"/>
      <c r="D7" s="403"/>
      <c r="E7" s="403"/>
      <c r="F7" s="403"/>
      <c r="G7" s="403"/>
    </row>
    <row r="8" spans="1:15">
      <c r="B8" s="44" t="s">
        <v>30</v>
      </c>
      <c r="C8" s="10">
        <f>+ROUND(26979696861/1000000,0)</f>
        <v>26980</v>
      </c>
      <c r="D8" s="10">
        <v>42471</v>
      </c>
      <c r="E8" s="10">
        <v>28148</v>
      </c>
      <c r="F8" s="10">
        <v>4064</v>
      </c>
      <c r="G8" s="10">
        <v>10697</v>
      </c>
      <c r="I8" s="44" t="s">
        <v>30</v>
      </c>
      <c r="J8" s="10">
        <v>131</v>
      </c>
      <c r="K8" s="10">
        <f>+'[36]CABA(E)'!K8</f>
        <v>1208</v>
      </c>
    </row>
    <row r="9" spans="1:15">
      <c r="B9" s="44" t="s">
        <v>31</v>
      </c>
      <c r="C9" s="10">
        <f>+ROUND(24682648811/1000000,0)</f>
        <v>24683</v>
      </c>
      <c r="D9" s="10">
        <v>33977</v>
      </c>
      <c r="E9" s="10">
        <v>22518</v>
      </c>
      <c r="F9" s="10">
        <v>3246</v>
      </c>
      <c r="G9" s="10">
        <v>8596</v>
      </c>
      <c r="I9" s="44" t="s">
        <v>31</v>
      </c>
      <c r="J9" s="10">
        <v>360</v>
      </c>
      <c r="K9" s="10">
        <f>+'[36]CABA(E)'!K9</f>
        <v>1355</v>
      </c>
    </row>
    <row r="10" spans="1:15">
      <c r="B10" s="252" t="s">
        <v>32</v>
      </c>
      <c r="C10" s="11">
        <f>+C8-C9</f>
        <v>2297</v>
      </c>
      <c r="D10" s="11">
        <f>+D8-D9</f>
        <v>8494</v>
      </c>
      <c r="E10" s="11">
        <v>5630</v>
      </c>
      <c r="F10" s="11">
        <f>+F8-F9</f>
        <v>818</v>
      </c>
      <c r="G10" s="11">
        <v>2101</v>
      </c>
      <c r="I10" s="252" t="s">
        <v>1129</v>
      </c>
      <c r="J10" s="66">
        <v>-229</v>
      </c>
      <c r="K10" s="66">
        <f>+'[36]CABA(E)'!K10</f>
        <v>-147</v>
      </c>
    </row>
    <row r="11" spans="1:15">
      <c r="B11" s="44"/>
      <c r="C11" s="10"/>
      <c r="D11" s="10"/>
      <c r="E11" s="10"/>
      <c r="F11" s="10"/>
      <c r="G11" s="10"/>
      <c r="J11" s="10"/>
      <c r="K11" s="10">
        <f>+'[36]CABA(E)'!K11</f>
        <v>0</v>
      </c>
    </row>
    <row r="12" spans="1:15">
      <c r="B12" s="44" t="s">
        <v>357</v>
      </c>
      <c r="C12" s="10">
        <f>+ROUND(17176016432.53/1000000,0)</f>
        <v>17176</v>
      </c>
      <c r="D12" s="10">
        <v>10999</v>
      </c>
      <c r="E12" s="10">
        <v>11821</v>
      </c>
      <c r="F12" s="10">
        <v>12422</v>
      </c>
      <c r="G12" s="10">
        <v>14296</v>
      </c>
      <c r="I12" s="44" t="str">
        <f>+B12</f>
        <v>Ingresos por servicios de operación de vías</v>
      </c>
      <c r="J12" s="10">
        <v>10985</v>
      </c>
      <c r="K12" s="10">
        <f>+'[36]CABA(E)'!K12</f>
        <v>11533</v>
      </c>
    </row>
    <row r="13" spans="1:15">
      <c r="B13" s="44" t="s">
        <v>358</v>
      </c>
      <c r="C13" s="10">
        <f>+ROUND(67678981813/1000000,0)-C12</f>
        <v>50503</v>
      </c>
      <c r="D13" s="10">
        <v>50409</v>
      </c>
      <c r="E13" s="10">
        <v>49383</v>
      </c>
      <c r="F13" s="10">
        <v>50606</v>
      </c>
      <c r="G13" s="10">
        <v>52648</v>
      </c>
      <c r="I13" s="44" t="str">
        <f t="shared" ref="I13:I15" si="0">+B13</f>
        <v>Rendimientos financieros del activo de concesión</v>
      </c>
      <c r="J13" s="10">
        <v>54130</v>
      </c>
      <c r="K13" s="10">
        <f>+'[36]CABA(E)'!K13</f>
        <v>57533</v>
      </c>
    </row>
    <row r="14" spans="1:15">
      <c r="B14" s="44" t="s">
        <v>39</v>
      </c>
      <c r="C14" s="10">
        <v>0</v>
      </c>
      <c r="D14" s="10">
        <v>0</v>
      </c>
      <c r="E14" s="10">
        <v>0</v>
      </c>
      <c r="F14" s="10">
        <v>0</v>
      </c>
      <c r="G14" s="10">
        <v>0</v>
      </c>
      <c r="I14" s="44" t="str">
        <f t="shared" si="0"/>
        <v>Otros ingresos operacionales</v>
      </c>
      <c r="J14" s="10"/>
      <c r="K14" s="10">
        <f>+'[36]CABA(E)'!K14</f>
        <v>0</v>
      </c>
    </row>
    <row r="15" spans="1:15">
      <c r="B15" s="44" t="s">
        <v>40</v>
      </c>
      <c r="C15" s="10">
        <f>+ROUND(38503779139/1000000,0)-C9</f>
        <v>13821</v>
      </c>
      <c r="D15" s="10">
        <v>10823</v>
      </c>
      <c r="E15" s="10">
        <v>10906</v>
      </c>
      <c r="F15" s="10">
        <v>12077</v>
      </c>
      <c r="G15" s="10">
        <v>13772</v>
      </c>
      <c r="I15" s="44" t="str">
        <f t="shared" si="0"/>
        <v>Costos y gastos AOM</v>
      </c>
      <c r="J15" s="10">
        <v>11937</v>
      </c>
      <c r="K15" s="10">
        <f>+'[36]CABA(E)'!K15</f>
        <v>11830</v>
      </c>
    </row>
    <row r="16" spans="1:15">
      <c r="B16" s="252" t="s">
        <v>41</v>
      </c>
      <c r="C16" s="11">
        <f t="shared" ref="C16:D16" si="1">+SUM(C12:C14)-C15</f>
        <v>53858</v>
      </c>
      <c r="D16" s="11">
        <f t="shared" si="1"/>
        <v>50585</v>
      </c>
      <c r="E16" s="11">
        <v>50298</v>
      </c>
      <c r="F16" s="11">
        <f t="shared" ref="F16" si="2">+SUM(F12:F14)-F15</f>
        <v>50951</v>
      </c>
      <c r="G16" s="11">
        <v>53172</v>
      </c>
      <c r="I16" s="44" t="s">
        <v>43</v>
      </c>
      <c r="J16" s="10">
        <v>384</v>
      </c>
      <c r="K16" s="10">
        <f>+'[36]CABA(E)'!K16</f>
        <v>1132</v>
      </c>
    </row>
    <row r="17" spans="2:11">
      <c r="B17" s="253" t="s">
        <v>42</v>
      </c>
      <c r="C17" s="65">
        <f t="shared" ref="C17:D17" si="3">+C16+C10</f>
        <v>56155</v>
      </c>
      <c r="D17" s="65">
        <f t="shared" si="3"/>
        <v>59079</v>
      </c>
      <c r="E17" s="65">
        <v>55928</v>
      </c>
      <c r="F17" s="65">
        <f t="shared" ref="F17" si="4">+F16+F10</f>
        <v>51769</v>
      </c>
      <c r="G17" s="65">
        <v>55273</v>
      </c>
      <c r="I17" s="253" t="s">
        <v>1130</v>
      </c>
      <c r="J17" s="66">
        <v>52794</v>
      </c>
      <c r="K17" s="66">
        <f>+'[36]CABA(E)'!K17</f>
        <v>56104</v>
      </c>
    </row>
    <row r="18" spans="2:11">
      <c r="B18" s="404"/>
      <c r="C18" s="354"/>
      <c r="D18" s="354"/>
      <c r="E18" s="354"/>
      <c r="F18" s="5"/>
      <c r="G18" s="5"/>
      <c r="J18" s="10"/>
      <c r="K18" s="10">
        <f>+'[36]CABA(E)'!K18</f>
        <v>0</v>
      </c>
    </row>
    <row r="19" spans="2:11">
      <c r="B19" s="44" t="s">
        <v>43</v>
      </c>
      <c r="C19" s="10">
        <f>ROUND(256915561/1000000,0)</f>
        <v>257</v>
      </c>
      <c r="D19" s="10">
        <v>363</v>
      </c>
      <c r="E19" s="10">
        <v>443</v>
      </c>
      <c r="F19" s="10">
        <v>356</v>
      </c>
      <c r="G19" s="10">
        <v>351</v>
      </c>
      <c r="J19" s="10"/>
      <c r="K19" s="10">
        <f>+'[36]CABA(E)'!K19</f>
        <v>0</v>
      </c>
    </row>
    <row r="20" spans="2:11">
      <c r="B20" s="44" t="s">
        <v>44</v>
      </c>
      <c r="C20" s="10">
        <v>0</v>
      </c>
      <c r="D20" s="10">
        <v>0</v>
      </c>
      <c r="E20" s="10">
        <v>0</v>
      </c>
      <c r="F20" s="10"/>
      <c r="G20" s="10">
        <v>0</v>
      </c>
      <c r="I20" s="44" t="s">
        <v>44</v>
      </c>
      <c r="J20" s="10">
        <v>0</v>
      </c>
      <c r="K20" s="10">
        <f>+'[36]CABA(E)'!K20</f>
        <v>0</v>
      </c>
    </row>
    <row r="21" spans="2:11">
      <c r="B21" s="44" t="s">
        <v>45</v>
      </c>
      <c r="C21" s="10">
        <f>-ROUND(2636082778/1000000,0)</f>
        <v>-2636</v>
      </c>
      <c r="D21" s="10">
        <v>-1711</v>
      </c>
      <c r="E21" s="10">
        <v>-415</v>
      </c>
      <c r="F21" s="10">
        <v>-1961</v>
      </c>
      <c r="G21" s="10">
        <v>29</v>
      </c>
      <c r="I21" s="44" t="s">
        <v>45</v>
      </c>
      <c r="J21" s="10">
        <v>-1675</v>
      </c>
      <c r="K21" s="10">
        <f>+'[36]CABA(E)'!K21</f>
        <v>40</v>
      </c>
    </row>
    <row r="22" spans="2:11">
      <c r="B22" s="253" t="s">
        <v>46</v>
      </c>
      <c r="C22" s="66">
        <f>+C17-C19+C20+C21</f>
        <v>53262</v>
      </c>
      <c r="D22" s="66">
        <f>+D17-D19+D20+D21</f>
        <v>57005</v>
      </c>
      <c r="E22" s="66">
        <v>55070</v>
      </c>
      <c r="F22" s="66">
        <f>+F17-F19+F20+F21</f>
        <v>49452</v>
      </c>
      <c r="G22" s="66">
        <v>54951</v>
      </c>
      <c r="I22" s="253" t="s">
        <v>46</v>
      </c>
      <c r="J22" s="66">
        <v>50890</v>
      </c>
      <c r="K22" s="66">
        <f>+'[36]CABA(E)'!K22</f>
        <v>55997</v>
      </c>
    </row>
    <row r="23" spans="2:11">
      <c r="B23" s="44"/>
      <c r="C23" s="10"/>
      <c r="D23" s="10"/>
      <c r="E23" s="10"/>
      <c r="F23" s="10"/>
      <c r="G23" s="10"/>
      <c r="I23" s="44"/>
      <c r="J23" s="10">
        <v>0</v>
      </c>
      <c r="K23" s="10">
        <f>+'[36]CABA(E)'!K23</f>
        <v>0</v>
      </c>
    </row>
    <row r="24" spans="2:11">
      <c r="B24" s="44" t="s">
        <v>47</v>
      </c>
      <c r="C24" s="10">
        <v>-45995</v>
      </c>
      <c r="D24" s="10">
        <v>-40546</v>
      </c>
      <c r="E24" s="10">
        <v>-48863</v>
      </c>
      <c r="F24" s="10">
        <v>-51015</v>
      </c>
      <c r="G24" s="10">
        <v>-49896</v>
      </c>
      <c r="I24" s="44" t="s">
        <v>47</v>
      </c>
      <c r="J24" s="10">
        <v>-65311</v>
      </c>
      <c r="K24" s="10">
        <f>+'[36]CABA(E)'!K24</f>
        <v>-66066</v>
      </c>
    </row>
    <row r="25" spans="2:11">
      <c r="B25" s="253" t="s">
        <v>48</v>
      </c>
      <c r="C25" s="66">
        <f>+C22+C24</f>
        <v>7267</v>
      </c>
      <c r="D25" s="66">
        <f>+D22+D24</f>
        <v>16459</v>
      </c>
      <c r="E25" s="66">
        <v>6207</v>
      </c>
      <c r="F25" s="66">
        <f>+F22+F24</f>
        <v>-1563</v>
      </c>
      <c r="G25" s="66">
        <v>5055</v>
      </c>
      <c r="I25" s="253" t="s">
        <v>48</v>
      </c>
      <c r="J25" s="66">
        <v>-14421</v>
      </c>
      <c r="K25" s="66">
        <f>+'[36]CABA(E)'!K25</f>
        <v>-10069</v>
      </c>
    </row>
    <row r="26" spans="2:11">
      <c r="B26" s="404"/>
      <c r="C26" s="354"/>
      <c r="D26" s="354"/>
      <c r="E26" s="354"/>
      <c r="F26" s="354"/>
      <c r="G26" s="354"/>
      <c r="I26" s="404"/>
      <c r="J26" s="10">
        <v>0</v>
      </c>
      <c r="K26" s="10">
        <f>+'[36]CABA(E)'!K26</f>
        <v>0</v>
      </c>
    </row>
    <row r="27" spans="2:11">
      <c r="B27" s="44" t="s">
        <v>49</v>
      </c>
      <c r="C27" s="10">
        <f>+ROUND(12177220811/1000000,0)</f>
        <v>12177</v>
      </c>
      <c r="D27" s="10">
        <v>4853</v>
      </c>
      <c r="E27" s="10">
        <v>-7670</v>
      </c>
      <c r="F27" s="10">
        <v>6221</v>
      </c>
      <c r="G27" s="10">
        <v>40139</v>
      </c>
      <c r="I27" s="44" t="s">
        <v>49</v>
      </c>
      <c r="J27" s="10">
        <v>-1085</v>
      </c>
      <c r="K27" s="10">
        <f>+'[36]CABA(E)'!K27</f>
        <v>-11660</v>
      </c>
    </row>
    <row r="28" spans="2:11">
      <c r="B28" s="253" t="s">
        <v>52</v>
      </c>
      <c r="C28" s="66">
        <f t="shared" ref="C28:D28" si="5">+C25-C27</f>
        <v>-4910</v>
      </c>
      <c r="D28" s="66">
        <f t="shared" si="5"/>
        <v>11606</v>
      </c>
      <c r="E28" s="66">
        <v>13877</v>
      </c>
      <c r="F28" s="66">
        <f t="shared" ref="F28" si="6">+F25-F27</f>
        <v>-7784</v>
      </c>
      <c r="G28" s="66">
        <v>-35084</v>
      </c>
      <c r="I28" s="253" t="s">
        <v>52</v>
      </c>
      <c r="J28" s="66">
        <v>-15506</v>
      </c>
      <c r="K28" s="66">
        <f>+'[36]CABA(E)'!K28</f>
        <v>3760</v>
      </c>
    </row>
    <row r="29" spans="2:11">
      <c r="J29" s="10"/>
      <c r="K29" s="10">
        <f>+'[36]CABA(E)'!K29</f>
        <v>0</v>
      </c>
    </row>
    <row r="30" spans="2:11" ht="15.5">
      <c r="I30" s="85" t="s">
        <v>1104</v>
      </c>
      <c r="J30" s="66">
        <v>52313</v>
      </c>
      <c r="K30" s="66">
        <f>+'[36]CABA(E)'!K30</f>
        <v>56939</v>
      </c>
    </row>
    <row r="31" spans="2:11" ht="15.5">
      <c r="B31" s="12" t="s">
        <v>877</v>
      </c>
      <c r="C31" s="143"/>
      <c r="D31" s="143"/>
      <c r="E31" s="143"/>
    </row>
    <row r="32" spans="2:11" ht="15.5">
      <c r="B32" s="405" t="s">
        <v>18</v>
      </c>
      <c r="C32" s="143"/>
      <c r="D32" s="143"/>
      <c r="E32" s="143"/>
    </row>
    <row r="33" spans="2:11" ht="15.5">
      <c r="B33" s="90"/>
      <c r="C33" s="143"/>
      <c r="D33" s="143"/>
      <c r="E33" s="143"/>
    </row>
    <row r="34" spans="2:11" ht="15.5" thickBot="1">
      <c r="B34" s="148"/>
      <c r="C34" s="401" t="s">
        <v>722</v>
      </c>
      <c r="D34" s="401" t="s">
        <v>739</v>
      </c>
      <c r="E34" s="401" t="s">
        <v>912</v>
      </c>
      <c r="F34" s="401" t="s">
        <v>1051</v>
      </c>
      <c r="G34" s="401" t="s">
        <v>1089</v>
      </c>
      <c r="I34" s="148"/>
      <c r="J34" s="401" t="s">
        <v>1109</v>
      </c>
      <c r="K34" s="401" t="s">
        <v>1190</v>
      </c>
    </row>
    <row r="35" spans="2:11" ht="15">
      <c r="B35" s="179" t="s">
        <v>55</v>
      </c>
      <c r="C35" s="180"/>
      <c r="D35" s="180"/>
      <c r="E35" s="180"/>
      <c r="F35" s="180"/>
      <c r="G35" s="180"/>
      <c r="I35" s="179" t="s">
        <v>55</v>
      </c>
      <c r="J35" s="180"/>
      <c r="K35" s="180"/>
    </row>
    <row r="36" spans="2:11" ht="15">
      <c r="B36" s="181" t="s">
        <v>56</v>
      </c>
      <c r="C36" s="182"/>
      <c r="D36" s="182"/>
      <c r="E36" s="182"/>
      <c r="F36" s="182"/>
      <c r="G36" s="182"/>
      <c r="I36" s="181" t="s">
        <v>56</v>
      </c>
      <c r="J36" s="182"/>
      <c r="K36" s="182"/>
    </row>
    <row r="37" spans="2:11" ht="15" thickBot="1">
      <c r="B37" s="414" t="s">
        <v>57</v>
      </c>
      <c r="C37" s="325">
        <v>405090</v>
      </c>
      <c r="D37" s="325">
        <v>348438</v>
      </c>
      <c r="E37" s="325">
        <v>345062</v>
      </c>
      <c r="F37" s="325">
        <v>271759</v>
      </c>
      <c r="G37" s="325">
        <v>440330</v>
      </c>
      <c r="I37" s="414" t="s">
        <v>57</v>
      </c>
      <c r="J37" s="325">
        <v>326334</v>
      </c>
      <c r="K37" s="325">
        <f>+'[36]CABA(E)'!L37</f>
        <v>339940</v>
      </c>
    </row>
    <row r="38" spans="2:11" ht="15" thickBot="1">
      <c r="B38" s="414" t="s">
        <v>878</v>
      </c>
      <c r="C38" s="325">
        <v>290440</v>
      </c>
      <c r="D38" s="325">
        <v>295114</v>
      </c>
      <c r="E38" s="325">
        <v>274935</v>
      </c>
      <c r="F38" s="325">
        <v>268788</v>
      </c>
      <c r="G38" s="325">
        <v>440672</v>
      </c>
      <c r="I38" s="414" t="s">
        <v>878</v>
      </c>
      <c r="J38" s="325">
        <v>2542</v>
      </c>
      <c r="K38" s="325">
        <f>+'[36]CABA(E)'!L38</f>
        <v>3565</v>
      </c>
    </row>
    <row r="39" spans="2:11" ht="28.5" thickBot="1">
      <c r="B39" s="414" t="s">
        <v>879</v>
      </c>
      <c r="C39" s="325">
        <v>553</v>
      </c>
      <c r="D39" s="325"/>
      <c r="E39" s="325">
        <v>0</v>
      </c>
      <c r="F39" s="325"/>
      <c r="G39" s="325">
        <v>0</v>
      </c>
      <c r="I39" s="414" t="s">
        <v>879</v>
      </c>
      <c r="J39" s="325">
        <v>0</v>
      </c>
      <c r="K39" s="325">
        <f>+'[36]CABA(E)'!L39</f>
        <v>0</v>
      </c>
    </row>
    <row r="40" spans="2:11" ht="15" thickBot="1">
      <c r="B40" s="414" t="s">
        <v>59</v>
      </c>
      <c r="C40" s="325">
        <v>1333</v>
      </c>
      <c r="D40" s="325">
        <v>1984</v>
      </c>
      <c r="E40" s="325">
        <v>3005</v>
      </c>
      <c r="F40" s="325">
        <v>3138</v>
      </c>
      <c r="G40" s="325">
        <v>2463</v>
      </c>
      <c r="I40" s="414" t="s">
        <v>59</v>
      </c>
      <c r="J40" s="325">
        <v>2794</v>
      </c>
      <c r="K40" s="325">
        <f>+'[36]CABA(E)'!L40</f>
        <v>3384</v>
      </c>
    </row>
    <row r="41" spans="2:11" ht="15" thickBot="1">
      <c r="B41" s="414" t="s">
        <v>61</v>
      </c>
      <c r="C41" s="325">
        <v>9371</v>
      </c>
      <c r="D41" s="325">
        <v>7144</v>
      </c>
      <c r="E41" s="325">
        <v>5502</v>
      </c>
      <c r="F41" s="325">
        <v>3204</v>
      </c>
      <c r="G41" s="325">
        <v>5465</v>
      </c>
      <c r="I41" s="414" t="s">
        <v>61</v>
      </c>
      <c r="J41" s="325">
        <v>4899</v>
      </c>
      <c r="K41" s="325">
        <f>+'[36]CABA(E)'!L41</f>
        <v>4032</v>
      </c>
    </row>
    <row r="42" spans="2:11" ht="15" thickBot="1">
      <c r="B42" s="414" t="s">
        <v>62</v>
      </c>
      <c r="C42" s="325">
        <v>0</v>
      </c>
      <c r="D42" s="325">
        <v>0</v>
      </c>
      <c r="E42" s="325">
        <v>0</v>
      </c>
      <c r="F42" s="325">
        <v>0</v>
      </c>
      <c r="G42" s="325">
        <v>0</v>
      </c>
      <c r="I42" s="414" t="s">
        <v>62</v>
      </c>
      <c r="J42" s="325">
        <v>0</v>
      </c>
      <c r="K42" s="325">
        <f>+'[36]CABA(E)'!L42</f>
        <v>0</v>
      </c>
    </row>
    <row r="43" spans="2:11" ht="15" thickBot="1">
      <c r="B43" s="406" t="s">
        <v>63</v>
      </c>
      <c r="C43" s="326">
        <f t="shared" ref="C43:D43" si="7">SUM(C37:C42)</f>
        <v>706787</v>
      </c>
      <c r="D43" s="326">
        <f t="shared" si="7"/>
        <v>652680</v>
      </c>
      <c r="E43" s="326">
        <v>628504</v>
      </c>
      <c r="F43" s="326">
        <f t="shared" ref="F43" si="8">SUM(F37:F42)</f>
        <v>546889</v>
      </c>
      <c r="G43" s="326">
        <v>888930</v>
      </c>
      <c r="I43" s="406" t="s">
        <v>63</v>
      </c>
      <c r="J43" s="326">
        <v>336569</v>
      </c>
      <c r="K43" s="326">
        <f>+'[36]CABA(E)'!L43</f>
        <v>350921</v>
      </c>
    </row>
    <row r="44" spans="2:11" ht="15" thickBot="1">
      <c r="B44" s="407" t="s">
        <v>64</v>
      </c>
      <c r="C44" s="356"/>
      <c r="D44" s="356"/>
      <c r="E44" s="356"/>
      <c r="F44" s="356"/>
      <c r="G44" s="356"/>
      <c r="I44" s="407" t="s">
        <v>64</v>
      </c>
      <c r="J44" s="356"/>
      <c r="K44" s="356"/>
    </row>
    <row r="45" spans="2:11" ht="15" thickBot="1">
      <c r="B45" s="414" t="s">
        <v>65</v>
      </c>
      <c r="C45" s="325">
        <v>0</v>
      </c>
      <c r="D45" s="325">
        <v>0</v>
      </c>
      <c r="E45" s="325">
        <v>0</v>
      </c>
      <c r="F45" s="325">
        <v>0</v>
      </c>
      <c r="G45" s="325">
        <v>0</v>
      </c>
      <c r="I45" s="414" t="s">
        <v>65</v>
      </c>
      <c r="J45" s="325">
        <v>0</v>
      </c>
      <c r="K45" s="325">
        <f>+'[36]CABA(E)'!L45</f>
        <v>0</v>
      </c>
    </row>
    <row r="46" spans="2:11" ht="15" thickBot="1">
      <c r="B46" s="414" t="s">
        <v>66</v>
      </c>
      <c r="C46" s="325">
        <v>0</v>
      </c>
      <c r="D46" s="325">
        <v>0</v>
      </c>
      <c r="E46" s="325">
        <v>0</v>
      </c>
      <c r="F46" s="325">
        <v>0</v>
      </c>
      <c r="G46" s="325">
        <v>0</v>
      </c>
      <c r="I46" s="414" t="s">
        <v>66</v>
      </c>
      <c r="J46" s="325">
        <v>0</v>
      </c>
      <c r="K46" s="325">
        <f>+'[36]CABA(E)'!L46</f>
        <v>0</v>
      </c>
    </row>
    <row r="47" spans="2:11" ht="28.5" thickBot="1">
      <c r="B47" s="414" t="s">
        <v>113</v>
      </c>
      <c r="C47" s="325">
        <v>0</v>
      </c>
      <c r="D47" s="325">
        <v>0</v>
      </c>
      <c r="E47" s="325">
        <v>0</v>
      </c>
      <c r="F47" s="325">
        <v>0</v>
      </c>
      <c r="G47" s="325">
        <v>0</v>
      </c>
      <c r="I47" s="414" t="s">
        <v>113</v>
      </c>
      <c r="J47" s="325">
        <v>0</v>
      </c>
      <c r="K47" s="325">
        <f>+'[36]CABA(E)'!L47</f>
        <v>0</v>
      </c>
    </row>
    <row r="48" spans="2:11" ht="15" thickBot="1">
      <c r="B48" s="414" t="s">
        <v>114</v>
      </c>
      <c r="C48" s="325">
        <v>0</v>
      </c>
      <c r="D48" s="325">
        <v>0</v>
      </c>
      <c r="E48" s="325">
        <v>0</v>
      </c>
      <c r="F48" s="325">
        <v>0</v>
      </c>
      <c r="G48" s="325">
        <v>0</v>
      </c>
      <c r="I48" s="414" t="s">
        <v>114</v>
      </c>
      <c r="J48" s="325">
        <v>0</v>
      </c>
      <c r="K48" s="325">
        <f>+'[36]CABA(E)'!L48</f>
        <v>0</v>
      </c>
    </row>
    <row r="49" spans="2:11" ht="15" thickBot="1">
      <c r="B49" s="414" t="s">
        <v>878</v>
      </c>
      <c r="C49" s="325">
        <v>1750420</v>
      </c>
      <c r="D49" s="325">
        <v>1729497</v>
      </c>
      <c r="E49" s="325">
        <v>1821970</v>
      </c>
      <c r="F49" s="325">
        <v>1871620</v>
      </c>
      <c r="G49" s="325">
        <v>1784029</v>
      </c>
      <c r="I49" s="414" t="s">
        <v>878</v>
      </c>
      <c r="J49" s="325">
        <v>2079912</v>
      </c>
      <c r="K49" s="325">
        <f>+'[36]CABA(E)'!L49</f>
        <v>2164020</v>
      </c>
    </row>
    <row r="50" spans="2:11" ht="28.5" thickBot="1">
      <c r="B50" s="414" t="s">
        <v>880</v>
      </c>
      <c r="C50" s="325">
        <v>975</v>
      </c>
      <c r="D50" s="325"/>
      <c r="E50" s="325">
        <v>0</v>
      </c>
      <c r="F50" s="325">
        <v>0</v>
      </c>
      <c r="G50" s="325">
        <v>0</v>
      </c>
      <c r="I50" s="414" t="s">
        <v>880</v>
      </c>
      <c r="J50" s="325">
        <v>0</v>
      </c>
      <c r="K50" s="325">
        <f>+'[36]CABA(E)'!L50</f>
        <v>0</v>
      </c>
    </row>
    <row r="51" spans="2:11" ht="15" thickBot="1">
      <c r="B51" s="414" t="s">
        <v>69</v>
      </c>
      <c r="C51" s="325">
        <v>0</v>
      </c>
      <c r="D51" s="325">
        <v>0</v>
      </c>
      <c r="E51" s="325">
        <v>0</v>
      </c>
      <c r="F51" s="325">
        <v>0</v>
      </c>
      <c r="G51" s="325">
        <v>0</v>
      </c>
      <c r="I51" s="414" t="s">
        <v>69</v>
      </c>
      <c r="J51" s="325">
        <v>0</v>
      </c>
      <c r="K51" s="325">
        <f>+'[36]CABA(E)'!L51</f>
        <v>0</v>
      </c>
    </row>
    <row r="52" spans="2:11" ht="15" thickBot="1">
      <c r="B52" s="414" t="s">
        <v>70</v>
      </c>
      <c r="C52" s="325">
        <v>2864</v>
      </c>
      <c r="D52" s="325">
        <v>2682</v>
      </c>
      <c r="E52" s="325">
        <v>7392</v>
      </c>
      <c r="F52" s="325">
        <v>7040</v>
      </c>
      <c r="G52" s="325">
        <v>6704</v>
      </c>
      <c r="I52" s="414" t="s">
        <v>70</v>
      </c>
      <c r="J52" s="325">
        <v>6295</v>
      </c>
      <c r="K52" s="325">
        <f>+'[36]CABA(E)'!L52</f>
        <v>6758</v>
      </c>
    </row>
    <row r="53" spans="2:11" ht="15" thickBot="1">
      <c r="B53" s="414" t="s">
        <v>71</v>
      </c>
      <c r="C53" s="325">
        <v>0</v>
      </c>
      <c r="D53" s="325">
        <v>0</v>
      </c>
      <c r="E53" s="325">
        <v>0</v>
      </c>
      <c r="F53" s="325">
        <v>0</v>
      </c>
      <c r="G53" s="325">
        <v>0</v>
      </c>
      <c r="I53" s="414" t="s">
        <v>71</v>
      </c>
      <c r="J53" s="325">
        <v>0</v>
      </c>
      <c r="K53" s="325">
        <f>+'[36]CABA(E)'!L53</f>
        <v>0</v>
      </c>
    </row>
    <row r="54" spans="2:11" ht="15" thickBot="1">
      <c r="B54" s="414" t="s">
        <v>73</v>
      </c>
      <c r="C54" s="325">
        <v>128</v>
      </c>
      <c r="D54" s="325">
        <v>109</v>
      </c>
      <c r="E54" s="325">
        <v>90</v>
      </c>
      <c r="F54" s="325">
        <v>140</v>
      </c>
      <c r="G54" s="325">
        <v>648</v>
      </c>
      <c r="I54" s="414" t="s">
        <v>73</v>
      </c>
      <c r="J54" s="325">
        <v>847</v>
      </c>
      <c r="K54" s="325">
        <f>+'[36]CABA(E)'!L54</f>
        <v>660</v>
      </c>
    </row>
    <row r="55" spans="2:11" ht="15" thickBot="1">
      <c r="B55" s="414" t="s">
        <v>61</v>
      </c>
      <c r="C55" s="325">
        <v>1164</v>
      </c>
      <c r="D55" s="325">
        <v>0</v>
      </c>
      <c r="E55" s="325">
        <v>0</v>
      </c>
      <c r="F55" s="325">
        <v>0</v>
      </c>
      <c r="G55" s="325">
        <v>0</v>
      </c>
      <c r="I55" s="414" t="s">
        <v>61</v>
      </c>
      <c r="J55" s="325">
        <v>0</v>
      </c>
      <c r="K55" s="325">
        <f>+'[36]CABA(E)'!L55</f>
        <v>0</v>
      </c>
    </row>
    <row r="56" spans="2:11" ht="15" thickBot="1">
      <c r="B56" s="414" t="s">
        <v>74</v>
      </c>
      <c r="C56" s="325">
        <v>655681</v>
      </c>
      <c r="D56" s="325">
        <v>678524</v>
      </c>
      <c r="E56" s="325">
        <v>694741</v>
      </c>
      <c r="F56" s="325">
        <v>834605</v>
      </c>
      <c r="G56" s="325">
        <v>0</v>
      </c>
      <c r="I56" s="414" t="s">
        <v>74</v>
      </c>
      <c r="J56" s="325">
        <v>0</v>
      </c>
      <c r="K56" s="325">
        <f>+'[36]CABA(E)'!L56</f>
        <v>0</v>
      </c>
    </row>
    <row r="57" spans="2:11" ht="15" thickBot="1">
      <c r="B57" s="414" t="s">
        <v>75</v>
      </c>
      <c r="C57" s="325">
        <v>2470</v>
      </c>
      <c r="D57" s="325">
        <v>4815</v>
      </c>
      <c r="E57" s="325">
        <v>0</v>
      </c>
      <c r="F57" s="325">
        <v>0</v>
      </c>
      <c r="G57" s="325">
        <v>0</v>
      </c>
      <c r="I57" s="414" t="s">
        <v>75</v>
      </c>
      <c r="J57" s="325">
        <v>0</v>
      </c>
      <c r="K57" s="325">
        <f>+'[36]CABA(E)'!L57</f>
        <v>0</v>
      </c>
    </row>
    <row r="58" spans="2:11" ht="15" thickBot="1">
      <c r="B58" s="414" t="s">
        <v>62</v>
      </c>
      <c r="C58" s="325">
        <v>0</v>
      </c>
      <c r="D58" s="325">
        <v>0</v>
      </c>
      <c r="E58" s="325">
        <v>0</v>
      </c>
      <c r="F58" s="325">
        <v>0</v>
      </c>
      <c r="G58" s="325">
        <v>0</v>
      </c>
      <c r="I58" s="414" t="s">
        <v>62</v>
      </c>
      <c r="J58" s="325">
        <v>0</v>
      </c>
      <c r="K58" s="325">
        <f>+'[36]CABA(E)'!L58</f>
        <v>0</v>
      </c>
    </row>
    <row r="59" spans="2:11" ht="15" thickBot="1">
      <c r="B59" s="407" t="s">
        <v>77</v>
      </c>
      <c r="C59" s="328">
        <f t="shared" ref="C59:D59" si="9">SUM(C45:C58)</f>
        <v>2413702</v>
      </c>
      <c r="D59" s="328">
        <f t="shared" si="9"/>
        <v>2415627</v>
      </c>
      <c r="E59" s="328">
        <v>2524193</v>
      </c>
      <c r="F59" s="328">
        <f t="shared" ref="F59" si="10">SUM(F45:F58)</f>
        <v>2713405</v>
      </c>
      <c r="G59" s="328">
        <v>1791381</v>
      </c>
      <c r="I59" s="407" t="s">
        <v>77</v>
      </c>
      <c r="J59" s="328">
        <v>2087054</v>
      </c>
      <c r="K59" s="328">
        <f>+'[36]CABA(E)'!L59</f>
        <v>2171438</v>
      </c>
    </row>
    <row r="60" spans="2:11" ht="15" thickBot="1">
      <c r="B60" s="408" t="s">
        <v>78</v>
      </c>
      <c r="C60" s="329">
        <f t="shared" ref="C60:D60" si="11">+C43+C59</f>
        <v>3120489</v>
      </c>
      <c r="D60" s="329">
        <f t="shared" si="11"/>
        <v>3068307</v>
      </c>
      <c r="E60" s="329">
        <v>3152697</v>
      </c>
      <c r="F60" s="329">
        <f t="shared" ref="F60" si="12">+F43+F59</f>
        <v>3260294</v>
      </c>
      <c r="G60" s="329">
        <v>2680311</v>
      </c>
      <c r="I60" s="408" t="s">
        <v>78</v>
      </c>
      <c r="J60" s="329">
        <v>2423623</v>
      </c>
      <c r="K60" s="329">
        <f>+'[36]CABA(E)'!L60</f>
        <v>2522359</v>
      </c>
    </row>
    <row r="61" spans="2:11" ht="15" thickBot="1">
      <c r="B61" s="409"/>
      <c r="C61" s="360"/>
      <c r="D61" s="360"/>
      <c r="E61" s="360">
        <v>0</v>
      </c>
      <c r="F61" s="360"/>
      <c r="G61" s="360">
        <v>0</v>
      </c>
      <c r="I61" s="409"/>
      <c r="J61" s="360">
        <v>0</v>
      </c>
      <c r="K61" s="360">
        <f>+'[36]CABA(E)'!L61</f>
        <v>0</v>
      </c>
    </row>
    <row r="62" spans="2:11" ht="15" thickBot="1">
      <c r="B62" s="410" t="s">
        <v>79</v>
      </c>
      <c r="C62" s="357"/>
      <c r="D62" s="357"/>
      <c r="E62" s="357"/>
      <c r="F62" s="357"/>
      <c r="G62" s="357"/>
      <c r="I62" s="410" t="s">
        <v>79</v>
      </c>
      <c r="J62" s="357"/>
      <c r="K62" s="357"/>
    </row>
    <row r="63" spans="2:11" ht="15" thickBot="1">
      <c r="B63" s="407" t="s">
        <v>80</v>
      </c>
      <c r="C63" s="358"/>
      <c r="D63" s="358"/>
      <c r="E63" s="358"/>
      <c r="F63" s="358"/>
      <c r="G63" s="358"/>
      <c r="I63" s="407" t="s">
        <v>80</v>
      </c>
      <c r="J63" s="358"/>
      <c r="K63" s="358"/>
    </row>
    <row r="64" spans="2:11" ht="15" thickBot="1">
      <c r="B64" s="414" t="s">
        <v>881</v>
      </c>
      <c r="C64" s="325">
        <v>27587</v>
      </c>
      <c r="D64" s="325">
        <v>79408</v>
      </c>
      <c r="E64" s="325">
        <v>108671</v>
      </c>
      <c r="F64" s="325">
        <v>72275</v>
      </c>
      <c r="G64" s="325">
        <v>112871</v>
      </c>
      <c r="I64" s="414" t="s">
        <v>881</v>
      </c>
      <c r="J64" s="325">
        <v>78810</v>
      </c>
      <c r="K64" s="325">
        <f>+'[36]CABA(E)'!L64</f>
        <v>110356</v>
      </c>
    </row>
    <row r="65" spans="2:11" ht="15" thickBot="1">
      <c r="B65" s="414" t="s">
        <v>882</v>
      </c>
      <c r="C65" s="325">
        <v>36441</v>
      </c>
      <c r="D65" s="325">
        <v>0</v>
      </c>
      <c r="E65" s="325">
        <v>0</v>
      </c>
      <c r="F65" s="325">
        <v>0</v>
      </c>
      <c r="G65" s="325">
        <v>0</v>
      </c>
      <c r="I65" s="414" t="s">
        <v>882</v>
      </c>
      <c r="J65" s="325">
        <v>0</v>
      </c>
      <c r="K65" s="325">
        <f>+'[36]CABA(E)'!L65</f>
        <v>0</v>
      </c>
    </row>
    <row r="66" spans="2:11" ht="15" thickBot="1">
      <c r="B66" s="414" t="s">
        <v>82</v>
      </c>
      <c r="C66" s="325">
        <v>10445</v>
      </c>
      <c r="D66" s="325">
        <v>14324</v>
      </c>
      <c r="E66" s="325">
        <v>22274</v>
      </c>
      <c r="F66" s="325">
        <v>13502</v>
      </c>
      <c r="G66" s="325">
        <v>52867</v>
      </c>
      <c r="I66" s="414" t="s">
        <v>82</v>
      </c>
      <c r="J66" s="325">
        <v>44969</v>
      </c>
      <c r="K66" s="325">
        <f>+'[36]CABA(E)'!L66</f>
        <v>41952</v>
      </c>
    </row>
    <row r="67" spans="2:11" ht="15" thickBot="1">
      <c r="B67" s="414" t="s">
        <v>84</v>
      </c>
      <c r="C67" s="325">
        <v>1153</v>
      </c>
      <c r="D67" s="325">
        <v>581</v>
      </c>
      <c r="E67" s="325">
        <v>624</v>
      </c>
      <c r="F67" s="325">
        <v>861</v>
      </c>
      <c r="G67" s="325">
        <v>1388</v>
      </c>
      <c r="I67" s="414" t="s">
        <v>84</v>
      </c>
      <c r="J67" s="325">
        <v>652</v>
      </c>
      <c r="K67" s="325">
        <f>+'[36]CABA(E)'!L67</f>
        <v>627</v>
      </c>
    </row>
    <row r="68" spans="2:11" ht="15" thickBot="1">
      <c r="B68" s="414" t="s">
        <v>59</v>
      </c>
      <c r="C68" s="325">
        <v>483</v>
      </c>
      <c r="D68" s="325">
        <v>4069</v>
      </c>
      <c r="E68" s="325">
        <v>4010</v>
      </c>
      <c r="F68" s="325">
        <v>3866</v>
      </c>
      <c r="G68" s="325">
        <v>707</v>
      </c>
      <c r="I68" s="414" t="s">
        <v>59</v>
      </c>
      <c r="J68" s="325">
        <v>512</v>
      </c>
      <c r="K68" s="325">
        <f>+'[36]CABA(E)'!L68</f>
        <v>1249</v>
      </c>
    </row>
    <row r="69" spans="2:11" ht="15" thickBot="1">
      <c r="B69" s="414" t="s">
        <v>85</v>
      </c>
      <c r="C69" s="325">
        <v>0</v>
      </c>
      <c r="D69" s="325">
        <v>23484</v>
      </c>
      <c r="E69" s="325">
        <v>33290</v>
      </c>
      <c r="F69" s="325">
        <v>31779</v>
      </c>
      <c r="G69" s="325">
        <v>0</v>
      </c>
      <c r="I69" s="414" t="s">
        <v>85</v>
      </c>
      <c r="J69" s="325">
        <v>0</v>
      </c>
      <c r="K69" s="325">
        <f>+'[36]CABA(E)'!L69</f>
        <v>0</v>
      </c>
    </row>
    <row r="70" spans="2:11" ht="15" thickBot="1">
      <c r="B70" s="414" t="s">
        <v>86</v>
      </c>
      <c r="C70" s="325">
        <v>4567</v>
      </c>
      <c r="D70" s="325">
        <v>76195</v>
      </c>
      <c r="E70" s="325">
        <v>63308</v>
      </c>
      <c r="F70" s="325">
        <v>47880</v>
      </c>
      <c r="G70" s="325">
        <v>222483</v>
      </c>
      <c r="I70" s="414" t="s">
        <v>86</v>
      </c>
      <c r="J70" s="325">
        <v>57772</v>
      </c>
      <c r="K70" s="325">
        <f>+'[36]CABA(E)'!L70</f>
        <v>46569</v>
      </c>
    </row>
    <row r="71" spans="2:11" ht="15" thickBot="1">
      <c r="B71" s="414" t="s">
        <v>115</v>
      </c>
      <c r="C71" s="336">
        <v>0</v>
      </c>
      <c r="D71" s="336">
        <v>0</v>
      </c>
      <c r="E71" s="336">
        <v>0</v>
      </c>
      <c r="F71" s="336">
        <v>0</v>
      </c>
      <c r="G71" s="336">
        <v>0</v>
      </c>
      <c r="I71" s="414" t="s">
        <v>115</v>
      </c>
      <c r="J71" s="336">
        <v>0</v>
      </c>
      <c r="K71" s="336">
        <f>+'[36]CABA(E)'!L71</f>
        <v>0</v>
      </c>
    </row>
    <row r="72" spans="2:11" ht="15" thickBot="1">
      <c r="B72" s="407" t="s">
        <v>88</v>
      </c>
      <c r="C72" s="328">
        <f t="shared" ref="C72:D72" si="13">SUM(C64:C71)</f>
        <v>80676</v>
      </c>
      <c r="D72" s="328">
        <f t="shared" si="13"/>
        <v>198061</v>
      </c>
      <c r="E72" s="328">
        <v>232177</v>
      </c>
      <c r="F72" s="328">
        <f t="shared" ref="F72" si="14">SUM(F64:F71)</f>
        <v>170163</v>
      </c>
      <c r="G72" s="328">
        <v>390316</v>
      </c>
      <c r="I72" s="407" t="s">
        <v>88</v>
      </c>
      <c r="J72" s="328">
        <v>182715</v>
      </c>
      <c r="K72" s="328">
        <f>+'[36]CABA(E)'!L72</f>
        <v>200753</v>
      </c>
    </row>
    <row r="73" spans="2:11" ht="15" thickBot="1">
      <c r="B73" s="411" t="s">
        <v>89</v>
      </c>
      <c r="C73" s="359"/>
      <c r="D73" s="359"/>
      <c r="E73" s="359"/>
      <c r="F73" s="359"/>
      <c r="G73" s="359"/>
      <c r="I73" s="411" t="s">
        <v>89</v>
      </c>
      <c r="J73" s="359"/>
      <c r="K73" s="359"/>
    </row>
    <row r="74" spans="2:11" ht="15" thickBot="1">
      <c r="B74" s="414" t="s">
        <v>881</v>
      </c>
      <c r="C74" s="325">
        <v>754044</v>
      </c>
      <c r="D74" s="325">
        <v>1421574</v>
      </c>
      <c r="E74" s="325">
        <v>1443605</v>
      </c>
      <c r="F74" s="325">
        <v>1469416</v>
      </c>
      <c r="G74" s="325">
        <v>1490307</v>
      </c>
      <c r="I74" s="414" t="s">
        <v>881</v>
      </c>
      <c r="J74" s="325">
        <v>1433797</v>
      </c>
      <c r="K74" s="325">
        <f>+'[36]CABA(E)'!L74</f>
        <v>1521713</v>
      </c>
    </row>
    <row r="75" spans="2:11" ht="15" thickBot="1">
      <c r="B75" s="414" t="s">
        <v>882</v>
      </c>
      <c r="C75" s="325">
        <v>678738</v>
      </c>
      <c r="D75" s="325">
        <v>0</v>
      </c>
      <c r="E75" s="325">
        <v>0</v>
      </c>
      <c r="F75" s="325">
        <v>0</v>
      </c>
      <c r="G75" s="325">
        <v>0</v>
      </c>
      <c r="I75" s="414" t="s">
        <v>882</v>
      </c>
      <c r="J75" s="325">
        <v>0</v>
      </c>
      <c r="K75" s="325">
        <f>+'[36]CABA(E)'!L75</f>
        <v>0</v>
      </c>
    </row>
    <row r="76" spans="2:11" ht="15" thickBot="1">
      <c r="B76" s="414" t="s">
        <v>883</v>
      </c>
      <c r="C76" s="325">
        <v>0</v>
      </c>
      <c r="D76" s="325">
        <v>4288</v>
      </c>
      <c r="E76" s="325">
        <v>3931</v>
      </c>
      <c r="F76" s="325">
        <v>3731</v>
      </c>
      <c r="G76" s="325">
        <v>3502</v>
      </c>
      <c r="I76" s="414" t="s">
        <v>883</v>
      </c>
      <c r="J76" s="325">
        <v>0</v>
      </c>
      <c r="K76" s="325">
        <f>+'[36]CABA(E)'!L76</f>
        <v>0</v>
      </c>
    </row>
    <row r="77" spans="2:11" ht="15" thickBot="1">
      <c r="B77" s="414" t="s">
        <v>90</v>
      </c>
      <c r="C77" s="325">
        <v>479845</v>
      </c>
      <c r="D77" s="325">
        <v>485152</v>
      </c>
      <c r="E77" s="325">
        <v>490748</v>
      </c>
      <c r="F77" s="325">
        <v>496417</v>
      </c>
      <c r="G77" s="325">
        <v>502457</v>
      </c>
      <c r="I77" s="414" t="s">
        <v>90</v>
      </c>
      <c r="J77" s="325">
        <v>511560</v>
      </c>
      <c r="K77" s="325">
        <f>+'[36]CABA(E)'!L77</f>
        <v>516938</v>
      </c>
    </row>
    <row r="78" spans="2:11" ht="15" thickBot="1">
      <c r="B78" s="414" t="s">
        <v>84</v>
      </c>
      <c r="C78" s="325">
        <v>0</v>
      </c>
      <c r="D78" s="325">
        <v>0</v>
      </c>
      <c r="E78" s="325">
        <v>0</v>
      </c>
      <c r="F78" s="325">
        <v>0</v>
      </c>
      <c r="G78" s="325">
        <v>0</v>
      </c>
      <c r="I78" s="414" t="s">
        <v>84</v>
      </c>
      <c r="J78" s="325">
        <v>0</v>
      </c>
      <c r="K78" s="325">
        <f>+'[36]CABA(E)'!L78</f>
        <v>0</v>
      </c>
    </row>
    <row r="79" spans="2:11" ht="15" thickBot="1">
      <c r="B79" s="414" t="s">
        <v>85</v>
      </c>
      <c r="C79" s="325">
        <v>2711</v>
      </c>
      <c r="D79" s="325">
        <v>0</v>
      </c>
      <c r="E79" s="325">
        <v>0</v>
      </c>
      <c r="F79" s="325">
        <v>0</v>
      </c>
      <c r="G79" s="325">
        <v>2711</v>
      </c>
      <c r="I79" s="414" t="s">
        <v>85</v>
      </c>
      <c r="J79" s="325">
        <v>2692</v>
      </c>
      <c r="K79" s="325">
        <f>+'[36]CABA(E)'!L79</f>
        <v>3432</v>
      </c>
    </row>
    <row r="80" spans="2:11" ht="15" thickBot="1">
      <c r="B80" s="414" t="s">
        <v>86</v>
      </c>
      <c r="C80" s="325">
        <v>203934</v>
      </c>
      <c r="D80" s="325">
        <v>0</v>
      </c>
      <c r="E80" s="325">
        <v>0</v>
      </c>
      <c r="F80" s="325">
        <v>0</v>
      </c>
      <c r="G80" s="325">
        <v>0</v>
      </c>
      <c r="I80" s="414" t="s">
        <v>86</v>
      </c>
      <c r="J80" s="325">
        <v>16261</v>
      </c>
      <c r="K80" s="325">
        <f>+'[36]CABA(E)'!L80</f>
        <v>12998</v>
      </c>
    </row>
    <row r="81" spans="2:11" ht="15" thickBot="1">
      <c r="B81" s="414" t="s">
        <v>116</v>
      </c>
      <c r="C81" s="325">
        <v>713869</v>
      </c>
      <c r="D81" s="325">
        <v>740955</v>
      </c>
      <c r="E81" s="325">
        <v>750082</v>
      </c>
      <c r="F81" s="605">
        <f>896196+1</f>
        <v>896197</v>
      </c>
      <c r="G81" s="605">
        <v>101732</v>
      </c>
      <c r="I81" s="414" t="s">
        <v>116</v>
      </c>
      <c r="J81" s="605">
        <v>100646</v>
      </c>
      <c r="K81" s="605">
        <f>+'[36]CABA(E)'!L81</f>
        <v>88987</v>
      </c>
    </row>
    <row r="82" spans="2:11" ht="15" thickBot="1">
      <c r="B82" s="407" t="s">
        <v>91</v>
      </c>
      <c r="C82" s="328">
        <f t="shared" ref="C82:D82" si="15">SUM(C74:C81)</f>
        <v>2833141</v>
      </c>
      <c r="D82" s="328">
        <f t="shared" si="15"/>
        <v>2651969</v>
      </c>
      <c r="E82" s="328">
        <v>2688366</v>
      </c>
      <c r="F82" s="328">
        <f t="shared" ref="F82" si="16">SUM(F74:F81)</f>
        <v>2865761</v>
      </c>
      <c r="G82" s="328">
        <v>2100709</v>
      </c>
      <c r="I82" s="407" t="s">
        <v>91</v>
      </c>
      <c r="J82" s="328">
        <v>2064956</v>
      </c>
      <c r="K82" s="328">
        <f>+'[36]CABA(E)'!L82</f>
        <v>2144068</v>
      </c>
    </row>
    <row r="83" spans="2:11" ht="15" thickBot="1">
      <c r="B83" s="408" t="s">
        <v>92</v>
      </c>
      <c r="C83" s="329">
        <f t="shared" ref="C83:D83" si="17">+C72+C82</f>
        <v>2913817</v>
      </c>
      <c r="D83" s="329">
        <f t="shared" si="17"/>
        <v>2850030</v>
      </c>
      <c r="E83" s="329">
        <v>2920543</v>
      </c>
      <c r="F83" s="329">
        <f t="shared" ref="F83" si="18">+F72+F82</f>
        <v>3035924</v>
      </c>
      <c r="G83" s="329">
        <v>2491025</v>
      </c>
      <c r="I83" s="408" t="s">
        <v>92</v>
      </c>
      <c r="J83" s="329">
        <v>2247671</v>
      </c>
      <c r="K83" s="329">
        <f>+'[36]CABA(E)'!L83</f>
        <v>2344821</v>
      </c>
    </row>
    <row r="84" spans="2:11" ht="15" thickBot="1">
      <c r="B84" s="409"/>
      <c r="C84" s="360"/>
      <c r="D84" s="360"/>
      <c r="E84" s="360">
        <v>0</v>
      </c>
      <c r="F84" s="360"/>
      <c r="G84" s="360">
        <v>0</v>
      </c>
      <c r="I84" s="409"/>
      <c r="J84" s="360">
        <v>0</v>
      </c>
      <c r="K84" s="360">
        <f>+'[36]CABA(E)'!L84</f>
        <v>0</v>
      </c>
    </row>
    <row r="85" spans="2:11" ht="15" thickBot="1">
      <c r="B85" s="412" t="s">
        <v>93</v>
      </c>
      <c r="C85" s="359"/>
      <c r="D85" s="359"/>
      <c r="E85" s="359"/>
      <c r="F85" s="359"/>
      <c r="G85" s="359"/>
      <c r="I85" s="412" t="s">
        <v>93</v>
      </c>
      <c r="J85" s="359"/>
      <c r="K85" s="359"/>
    </row>
    <row r="86" spans="2:11" ht="15" thickBot="1">
      <c r="B86" s="414" t="s">
        <v>94</v>
      </c>
      <c r="C86" s="325">
        <v>84</v>
      </c>
      <c r="D86" s="325">
        <v>84</v>
      </c>
      <c r="E86" s="325">
        <v>84</v>
      </c>
      <c r="F86" s="325">
        <v>84</v>
      </c>
      <c r="G86" s="325">
        <v>84</v>
      </c>
      <c r="I86" s="414" t="s">
        <v>94</v>
      </c>
      <c r="J86" s="325">
        <v>84</v>
      </c>
      <c r="K86" s="325">
        <f>+'[36]CABA(E)'!L86</f>
        <v>84</v>
      </c>
    </row>
    <row r="87" spans="2:11" ht="15" thickBot="1">
      <c r="B87" s="414" t="s">
        <v>95</v>
      </c>
      <c r="C87" s="325">
        <v>0</v>
      </c>
      <c r="D87" s="325">
        <v>0</v>
      </c>
      <c r="E87" s="325">
        <v>0</v>
      </c>
      <c r="F87" s="325">
        <v>0</v>
      </c>
      <c r="G87" s="325">
        <v>0</v>
      </c>
      <c r="I87" s="414" t="s">
        <v>95</v>
      </c>
      <c r="J87" s="325">
        <v>0</v>
      </c>
      <c r="K87" s="325">
        <f>+'[36]CABA(E)'!L87</f>
        <v>0</v>
      </c>
    </row>
    <row r="88" spans="2:11" ht="15" thickBot="1">
      <c r="B88" s="414" t="s">
        <v>96</v>
      </c>
      <c r="C88" s="325">
        <v>0</v>
      </c>
      <c r="D88" s="325">
        <v>0</v>
      </c>
      <c r="E88" s="325">
        <v>0</v>
      </c>
      <c r="F88" s="325">
        <v>0</v>
      </c>
      <c r="G88" s="325">
        <v>0</v>
      </c>
      <c r="I88" s="414" t="s">
        <v>96</v>
      </c>
      <c r="J88" s="325">
        <v>0</v>
      </c>
      <c r="K88" s="325">
        <f>+'[36]CABA(E)'!L88</f>
        <v>0</v>
      </c>
    </row>
    <row r="89" spans="2:11" ht="15" thickBot="1">
      <c r="B89" s="414" t="s">
        <v>97</v>
      </c>
      <c r="C89" s="325">
        <v>211498</v>
      </c>
      <c r="D89" s="325">
        <v>206587</v>
      </c>
      <c r="E89" s="325">
        <v>206587</v>
      </c>
      <c r="F89" s="325">
        <v>206587</v>
      </c>
      <c r="G89" s="325">
        <v>206587</v>
      </c>
      <c r="I89" s="414" t="s">
        <v>97</v>
      </c>
      <c r="J89" s="325">
        <v>189203</v>
      </c>
      <c r="K89" s="325">
        <f>+'[36]CABA(E)'!L89</f>
        <v>189203</v>
      </c>
    </row>
    <row r="90" spans="2:11" ht="15" thickBot="1">
      <c r="B90" s="414" t="s">
        <v>98</v>
      </c>
      <c r="C90" s="325">
        <v>-4910</v>
      </c>
      <c r="D90" s="325">
        <v>11606</v>
      </c>
      <c r="E90" s="325">
        <v>25483</v>
      </c>
      <c r="F90" s="325">
        <v>17699</v>
      </c>
      <c r="G90" s="325">
        <v>-17385</v>
      </c>
      <c r="I90" s="414" t="s">
        <v>98</v>
      </c>
      <c r="J90" s="325">
        <v>-13335</v>
      </c>
      <c r="K90" s="325">
        <f>+'[36]CABA(E)'!L90</f>
        <v>-11746</v>
      </c>
    </row>
    <row r="91" spans="2:11" ht="15" thickBot="1">
      <c r="B91" s="414" t="s">
        <v>99</v>
      </c>
      <c r="C91" s="325">
        <v>0</v>
      </c>
      <c r="D91" s="325">
        <v>0</v>
      </c>
      <c r="E91" s="325">
        <v>0</v>
      </c>
      <c r="F91" s="325">
        <v>0</v>
      </c>
      <c r="G91" s="325">
        <v>0</v>
      </c>
      <c r="I91" s="414" t="s">
        <v>99</v>
      </c>
      <c r="J91" s="325">
        <v>0</v>
      </c>
      <c r="K91" s="325">
        <f>+'[36]CABA(E)'!L91</f>
        <v>0</v>
      </c>
    </row>
    <row r="92" spans="2:11" ht="15" thickBot="1">
      <c r="B92" s="407" t="s">
        <v>102</v>
      </c>
      <c r="C92" s="328">
        <f t="shared" ref="C92:D92" si="19">SUM(C86:C91)</f>
        <v>206672</v>
      </c>
      <c r="D92" s="328">
        <f t="shared" si="19"/>
        <v>218277</v>
      </c>
      <c r="E92" s="328">
        <v>232154</v>
      </c>
      <c r="F92" s="328">
        <f t="shared" ref="F92" si="20">SUM(F86:F91)</f>
        <v>224370</v>
      </c>
      <c r="G92" s="328">
        <v>189286</v>
      </c>
      <c r="I92" s="407" t="s">
        <v>102</v>
      </c>
      <c r="J92" s="328">
        <v>175952</v>
      </c>
      <c r="K92" s="328">
        <f>+'[36]CABA(E)'!L92</f>
        <v>177541</v>
      </c>
    </row>
    <row r="93" spans="2:11" ht="15" thickBot="1">
      <c r="B93" s="413" t="s">
        <v>103</v>
      </c>
      <c r="C93" s="329">
        <f t="shared" ref="C93:D93" si="21">+C83+C92</f>
        <v>3120489</v>
      </c>
      <c r="D93" s="329">
        <f t="shared" si="21"/>
        <v>3068307</v>
      </c>
      <c r="E93" s="329">
        <v>3152697</v>
      </c>
      <c r="F93" s="329">
        <f t="shared" ref="F93" si="22">+F83+F92</f>
        <v>3260294</v>
      </c>
      <c r="G93" s="329">
        <v>2680311</v>
      </c>
      <c r="I93" s="413" t="s">
        <v>103</v>
      </c>
      <c r="J93" s="329">
        <v>2423623</v>
      </c>
      <c r="K93" s="329">
        <f>+'[36]CABA(E)'!L93</f>
        <v>2522362</v>
      </c>
    </row>
    <row r="94" spans="2:11">
      <c r="C94" s="568">
        <f>+C60-C93</f>
        <v>0</v>
      </c>
      <c r="D94" s="568">
        <f t="shared" ref="D94:E94" si="23">+D60-D93</f>
        <v>0</v>
      </c>
      <c r="E94" s="568">
        <f t="shared" si="23"/>
        <v>0</v>
      </c>
    </row>
  </sheetData>
  <phoneticPr fontId="204" type="noConversion"/>
  <hyperlinks>
    <hyperlink ref="A1" location="Contenido!A1" display="Volver al Contenido" xr:uid="{AD6CAC73-D6F0-444D-9EC9-A82DDD30B4D4}"/>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dimension ref="A1:X365"/>
  <sheetViews>
    <sheetView showGridLines="0" zoomScale="80" zoomScaleNormal="80" workbookViewId="0">
      <pane xSplit="2" ySplit="6" topLeftCell="U7" activePane="bottomRight" state="frozen"/>
      <selection pane="topRight" activeCell="C1" sqref="C1"/>
      <selection pane="bottomLeft" activeCell="A7" sqref="A7"/>
      <selection pane="bottomRight" activeCell="X83" sqref="X83"/>
    </sheetView>
  </sheetViews>
  <sheetFormatPr baseColWidth="10" defaultColWidth="11.453125" defaultRowHeight="14.5"/>
  <cols>
    <col min="1" max="1" width="7.1796875" customWidth="1"/>
    <col min="2" max="2" width="57.81640625" bestFit="1" customWidth="1"/>
    <col min="3" max="14" width="15.453125" customWidth="1"/>
    <col min="15" max="15" width="15.453125" style="46" customWidth="1"/>
    <col min="16" max="17" width="15.453125" customWidth="1"/>
    <col min="18" max="19" width="14.1796875" style="46" bestFit="1" customWidth="1"/>
    <col min="20" max="20" width="14.1796875" bestFit="1" customWidth="1"/>
    <col min="22" max="22" width="53.54296875" bestFit="1" customWidth="1"/>
    <col min="23" max="23" width="14.1796875" bestFit="1" customWidth="1"/>
    <col min="24" max="24" width="14.1796875" style="46" bestFit="1" customWidth="1"/>
  </cols>
  <sheetData>
    <row r="1" spans="1:24">
      <c r="A1" s="2" t="s">
        <v>16</v>
      </c>
      <c r="B1" s="46"/>
      <c r="C1" s="46"/>
      <c r="D1" s="46"/>
      <c r="E1" s="46"/>
      <c r="F1" s="46"/>
      <c r="G1" s="46"/>
      <c r="H1" s="46"/>
      <c r="I1" s="46"/>
      <c r="J1" s="46"/>
      <c r="K1" s="46"/>
      <c r="L1" s="46"/>
      <c r="M1" s="46"/>
      <c r="N1" s="46"/>
    </row>
    <row r="3" spans="1:24" ht="15.5">
      <c r="A3" s="46"/>
      <c r="B3" s="62" t="s">
        <v>355</v>
      </c>
      <c r="C3" s="33"/>
      <c r="D3" s="33"/>
      <c r="E3" s="34"/>
      <c r="F3" s="33"/>
      <c r="G3" s="33"/>
      <c r="H3" s="33"/>
      <c r="I3" s="34"/>
      <c r="J3" s="33"/>
      <c r="K3" s="33"/>
      <c r="L3" s="33"/>
      <c r="M3" s="34"/>
      <c r="N3" s="33"/>
      <c r="O3" s="33"/>
    </row>
    <row r="4" spans="1:24" ht="13.5" customHeight="1">
      <c r="A4" s="46"/>
      <c r="B4" s="165" t="s">
        <v>356</v>
      </c>
      <c r="C4" s="143"/>
      <c r="D4" s="143"/>
      <c r="E4" s="143"/>
      <c r="F4" s="143"/>
      <c r="G4" s="143"/>
      <c r="H4" s="143"/>
      <c r="I4" s="143"/>
      <c r="J4" s="143"/>
      <c r="K4" s="143"/>
      <c r="L4" s="143"/>
      <c r="M4" s="143"/>
      <c r="N4" s="143"/>
      <c r="O4" s="143"/>
    </row>
    <row r="5" spans="1:24" s="46" customFormat="1" ht="13.5" customHeight="1">
      <c r="B5" s="247"/>
      <c r="C5" s="143"/>
      <c r="D5" s="143"/>
      <c r="E5" s="143"/>
      <c r="F5" s="143"/>
      <c r="G5" s="143"/>
      <c r="H5" s="143"/>
      <c r="I5" s="143"/>
      <c r="J5" s="143"/>
      <c r="K5" s="143"/>
      <c r="L5" s="143"/>
      <c r="M5" s="143"/>
      <c r="N5" s="143"/>
      <c r="O5" s="143"/>
    </row>
    <row r="6" spans="1:24" ht="9.65" customHeight="1">
      <c r="A6" s="46"/>
      <c r="B6" s="35"/>
      <c r="C6" s="35"/>
      <c r="D6" s="35"/>
      <c r="E6" s="35"/>
      <c r="F6" s="35"/>
      <c r="G6" s="35"/>
      <c r="H6" s="35"/>
      <c r="I6" s="35"/>
      <c r="J6" s="35"/>
      <c r="K6" s="35"/>
      <c r="L6" s="35"/>
      <c r="M6" s="35"/>
      <c r="N6" s="35"/>
      <c r="O6" s="35"/>
    </row>
    <row r="7" spans="1:24" ht="15">
      <c r="A7" s="46"/>
      <c r="B7" s="148"/>
      <c r="C7" s="149">
        <v>2016</v>
      </c>
      <c r="D7" s="149">
        <v>2017</v>
      </c>
      <c r="E7" s="149" t="s">
        <v>19</v>
      </c>
      <c r="F7" s="149" t="s">
        <v>20</v>
      </c>
      <c r="G7" s="149" t="s">
        <v>21</v>
      </c>
      <c r="H7" s="149" t="s">
        <v>22</v>
      </c>
      <c r="I7" s="149" t="s">
        <v>23</v>
      </c>
      <c r="J7" s="149" t="s">
        <v>24</v>
      </c>
      <c r="K7" s="149" t="s">
        <v>25</v>
      </c>
      <c r="L7" s="149" t="s">
        <v>26</v>
      </c>
      <c r="M7" s="149" t="s">
        <v>27</v>
      </c>
      <c r="N7" s="149" t="s">
        <v>28</v>
      </c>
      <c r="O7" s="149" t="s">
        <v>29</v>
      </c>
      <c r="P7" s="275" t="s">
        <v>722</v>
      </c>
      <c r="Q7" s="340" t="s">
        <v>739</v>
      </c>
      <c r="R7" s="340" t="s">
        <v>912</v>
      </c>
      <c r="S7" s="340" t="s">
        <v>1051</v>
      </c>
      <c r="T7" s="340" t="s">
        <v>1089</v>
      </c>
      <c r="V7" s="148"/>
      <c r="W7" s="340" t="s">
        <v>1109</v>
      </c>
      <c r="X7" s="340" t="s">
        <v>1190</v>
      </c>
    </row>
    <row r="8" spans="1:24" ht="5.15" customHeight="1">
      <c r="A8" s="46"/>
      <c r="B8" s="150"/>
      <c r="C8" s="35"/>
      <c r="D8" s="35"/>
      <c r="E8" s="35"/>
      <c r="F8" s="35"/>
      <c r="G8" s="35"/>
      <c r="H8" s="35"/>
      <c r="I8" s="35"/>
      <c r="J8" s="35"/>
      <c r="K8" s="35"/>
      <c r="L8" s="35"/>
      <c r="M8" s="35"/>
      <c r="N8" s="35"/>
      <c r="O8" s="35"/>
      <c r="Q8" s="46"/>
      <c r="T8" s="46"/>
    </row>
    <row r="9" spans="1:24" ht="15.5">
      <c r="A9" s="46"/>
      <c r="B9" s="83" t="s">
        <v>30</v>
      </c>
      <c r="C9" s="118">
        <v>21559</v>
      </c>
      <c r="D9" s="118">
        <v>6501</v>
      </c>
      <c r="E9" s="118">
        <v>1605</v>
      </c>
      <c r="F9" s="118">
        <v>2519</v>
      </c>
      <c r="G9" s="118">
        <v>3792</v>
      </c>
      <c r="H9" s="118">
        <v>10850</v>
      </c>
      <c r="I9" s="118">
        <v>3208</v>
      </c>
      <c r="J9" s="118">
        <v>6858</v>
      </c>
      <c r="K9" s="118">
        <v>13157</v>
      </c>
      <c r="L9" s="118">
        <v>13280</v>
      </c>
      <c r="M9" s="118">
        <v>8788</v>
      </c>
      <c r="N9" s="118">
        <v>8649</v>
      </c>
      <c r="O9" s="118">
        <f>25905-M9-N9</f>
        <v>8468</v>
      </c>
      <c r="P9" s="118">
        <v>21083.452605999999</v>
      </c>
      <c r="Q9" s="118">
        <v>9235.8317509999997</v>
      </c>
      <c r="R9" s="118">
        <v>11006.218275000001</v>
      </c>
      <c r="S9" s="118">
        <v>6174.5087820000008</v>
      </c>
      <c r="T9" s="118">
        <v>8591.1498749999955</v>
      </c>
      <c r="V9" s="83" t="s">
        <v>30</v>
      </c>
      <c r="W9" s="118">
        <v>1689.8998779999999</v>
      </c>
      <c r="X9" s="118">
        <f>+[33]EEFF_Vías_Chi!Y9</f>
        <v>814.49261000000001</v>
      </c>
    </row>
    <row r="10" spans="1:24" ht="15.5">
      <c r="A10" s="46"/>
      <c r="B10" s="83" t="s">
        <v>31</v>
      </c>
      <c r="C10" s="118">
        <v>18557</v>
      </c>
      <c r="D10" s="118">
        <v>5186</v>
      </c>
      <c r="E10" s="118">
        <v>1246</v>
      </c>
      <c r="F10" s="118">
        <v>2052</v>
      </c>
      <c r="G10" s="118">
        <v>3174</v>
      </c>
      <c r="H10" s="118">
        <v>10135</v>
      </c>
      <c r="I10" s="118">
        <v>2839</v>
      </c>
      <c r="J10" s="118">
        <v>6069</v>
      </c>
      <c r="K10" s="118">
        <v>11643</v>
      </c>
      <c r="L10" s="118">
        <v>11752</v>
      </c>
      <c r="M10" s="118">
        <v>7642</v>
      </c>
      <c r="N10" s="118">
        <v>7535</v>
      </c>
      <c r="O10" s="118">
        <f>22545-M10-N10</f>
        <v>7368</v>
      </c>
      <c r="P10" s="118">
        <v>18333.437048</v>
      </c>
      <c r="Q10" s="118">
        <v>8031</v>
      </c>
      <c r="R10" s="118">
        <v>9570.7826300000015</v>
      </c>
      <c r="S10" s="118">
        <v>5369.1082279999973</v>
      </c>
      <c r="T10" s="118">
        <v>7470.5651090000028</v>
      </c>
      <c r="V10" s="83" t="s">
        <v>31</v>
      </c>
      <c r="W10" s="118">
        <v>1469.4781539999999</v>
      </c>
      <c r="X10" s="118">
        <f>+[33]EEFF_Vías_Chi!Y10</f>
        <v>9570.6245859999999</v>
      </c>
    </row>
    <row r="11" spans="1:24" ht="15.5">
      <c r="A11" s="46"/>
      <c r="B11" s="142" t="s">
        <v>32</v>
      </c>
      <c r="C11" s="151">
        <v>3002</v>
      </c>
      <c r="D11" s="151">
        <v>1315</v>
      </c>
      <c r="E11" s="151">
        <v>359</v>
      </c>
      <c r="F11" s="151">
        <v>467</v>
      </c>
      <c r="G11" s="151">
        <v>618</v>
      </c>
      <c r="H11" s="151">
        <v>715</v>
      </c>
      <c r="I11" s="151">
        <v>369</v>
      </c>
      <c r="J11" s="151">
        <v>789</v>
      </c>
      <c r="K11" s="151">
        <v>1514</v>
      </c>
      <c r="L11" s="151">
        <v>1528</v>
      </c>
      <c r="M11" s="151">
        <v>1146</v>
      </c>
      <c r="N11" s="151">
        <v>1114</v>
      </c>
      <c r="O11" s="151">
        <f>+O9-O10</f>
        <v>1100</v>
      </c>
      <c r="P11" s="151">
        <v>2750.0155579999991</v>
      </c>
      <c r="Q11" s="151">
        <f>+Q9-Q10</f>
        <v>1204.8317509999997</v>
      </c>
      <c r="R11" s="151">
        <v>1435.4356449999996</v>
      </c>
      <c r="S11" s="151">
        <v>805.40055400000347</v>
      </c>
      <c r="T11" s="151">
        <v>1120.5847659999927</v>
      </c>
      <c r="V11" s="142" t="s">
        <v>1129</v>
      </c>
      <c r="W11" s="151">
        <v>220.42172400000004</v>
      </c>
      <c r="X11" s="151">
        <f>+[33]EEFF_Vías_Chi!Y11</f>
        <v>-8756.1319760000006</v>
      </c>
    </row>
    <row r="12" spans="1:24" ht="4" customHeight="1">
      <c r="A12" s="46"/>
      <c r="B12" s="83"/>
      <c r="C12" s="118"/>
      <c r="D12" s="118"/>
      <c r="E12" s="118"/>
      <c r="F12" s="118"/>
      <c r="G12" s="118"/>
      <c r="H12" s="118"/>
      <c r="I12" s="118"/>
      <c r="J12" s="118"/>
      <c r="K12" s="118"/>
      <c r="L12" s="118"/>
      <c r="M12" s="118"/>
      <c r="N12" s="118"/>
      <c r="O12" s="118"/>
      <c r="P12" s="118"/>
      <c r="Q12" s="118"/>
      <c r="R12" s="118"/>
      <c r="S12" s="118">
        <v>0</v>
      </c>
      <c r="T12" s="118"/>
      <c r="W12" s="118"/>
      <c r="X12" s="118">
        <f>+[33]EEFF_Vías_Chi!Y12</f>
        <v>0</v>
      </c>
    </row>
    <row r="13" spans="1:24" ht="15.5">
      <c r="A13" s="46"/>
      <c r="B13" s="83" t="s">
        <v>357</v>
      </c>
      <c r="C13" s="118">
        <v>27482</v>
      </c>
      <c r="D13" s="118">
        <v>24698</v>
      </c>
      <c r="E13" s="118">
        <v>5872</v>
      </c>
      <c r="F13" s="118">
        <v>6511</v>
      </c>
      <c r="G13" s="118">
        <v>6485</v>
      </c>
      <c r="H13" s="118">
        <v>7536</v>
      </c>
      <c r="I13" s="118">
        <v>7138</v>
      </c>
      <c r="J13" s="118">
        <v>6972</v>
      </c>
      <c r="K13" s="118">
        <v>9154</v>
      </c>
      <c r="L13" s="118">
        <v>8685</v>
      </c>
      <c r="M13" s="118">
        <v>7003</v>
      </c>
      <c r="N13" s="118">
        <v>7692</v>
      </c>
      <c r="O13" s="118">
        <f>22905-M13-N13</f>
        <v>8210</v>
      </c>
      <c r="P13" s="118">
        <v>10163.71689</v>
      </c>
      <c r="Q13" s="118">
        <v>7240.9150203999998</v>
      </c>
      <c r="R13" s="118">
        <v>9038.3503875999995</v>
      </c>
      <c r="S13" s="118">
        <v>8925.0059079999992</v>
      </c>
      <c r="T13" s="118">
        <v>12363.043470000004</v>
      </c>
      <c r="V13" s="83" t="str">
        <f>+B13</f>
        <v>Ingresos por servicios de operación de vías</v>
      </c>
      <c r="W13" s="118">
        <v>8808.4460060000001</v>
      </c>
      <c r="X13" s="118">
        <f>+[33]EEFF_Vías_Chi!Y13</f>
        <v>10473.489051999999</v>
      </c>
    </row>
    <row r="14" spans="1:24" ht="15.5">
      <c r="A14" s="46"/>
      <c r="B14" s="83" t="s">
        <v>358</v>
      </c>
      <c r="C14" s="118">
        <v>120243</v>
      </c>
      <c r="D14" s="118">
        <v>122503</v>
      </c>
      <c r="E14" s="118">
        <v>28847</v>
      </c>
      <c r="F14" s="118">
        <v>27761</v>
      </c>
      <c r="G14" s="118">
        <v>28251</v>
      </c>
      <c r="H14" s="118">
        <v>28505</v>
      </c>
      <c r="I14" s="118">
        <v>27818</v>
      </c>
      <c r="J14" s="118">
        <v>28258</v>
      </c>
      <c r="K14" s="118">
        <v>28668</v>
      </c>
      <c r="L14" s="118">
        <v>28882</v>
      </c>
      <c r="M14" s="118">
        <v>28223</v>
      </c>
      <c r="N14" s="118">
        <v>25540</v>
      </c>
      <c r="O14" s="118">
        <f>87232-M14-N14</f>
        <v>33469</v>
      </c>
      <c r="P14" s="118">
        <v>31730.264073000002</v>
      </c>
      <c r="Q14" s="118">
        <v>30988.951077000002</v>
      </c>
      <c r="R14" s="118">
        <v>32156.663703999995</v>
      </c>
      <c r="S14" s="118">
        <v>33125.433321000004</v>
      </c>
      <c r="T14" s="118">
        <v>37709.848901999998</v>
      </c>
      <c r="V14" s="83" t="str">
        <f t="shared" ref="V14:V16" si="0">+B14</f>
        <v>Rendimientos financieros del activo de concesión</v>
      </c>
      <c r="W14" s="118">
        <v>33581.663785999997</v>
      </c>
      <c r="X14" s="118">
        <f>+[33]EEFF_Vías_Chi!Y14</f>
        <v>36524.804704000002</v>
      </c>
    </row>
    <row r="15" spans="1:24" ht="15.5">
      <c r="A15" s="46"/>
      <c r="B15" s="83" t="s">
        <v>39</v>
      </c>
      <c r="C15" s="118">
        <v>13</v>
      </c>
      <c r="D15" s="118">
        <v>102</v>
      </c>
      <c r="E15" s="118">
        <v>49</v>
      </c>
      <c r="F15" s="118">
        <v>96</v>
      </c>
      <c r="G15" s="118">
        <v>73</v>
      </c>
      <c r="H15" s="118">
        <v>87</v>
      </c>
      <c r="I15" s="118">
        <v>112</v>
      </c>
      <c r="J15" s="118">
        <v>82</v>
      </c>
      <c r="K15" s="118">
        <v>185</v>
      </c>
      <c r="L15" s="118">
        <v>1599</v>
      </c>
      <c r="M15" s="118">
        <v>176</v>
      </c>
      <c r="N15" s="118">
        <v>-108</v>
      </c>
      <c r="O15" s="118">
        <f>92-M15-N15</f>
        <v>24</v>
      </c>
      <c r="P15" s="118">
        <v>77.274477999999988</v>
      </c>
      <c r="Q15" s="118">
        <v>76.796128000000024</v>
      </c>
      <c r="R15" s="118">
        <v>53.594471999999982</v>
      </c>
      <c r="S15" s="118">
        <v>148.340373</v>
      </c>
      <c r="T15" s="118">
        <v>1300.397289</v>
      </c>
      <c r="V15" s="83" t="str">
        <f t="shared" si="0"/>
        <v>Otros ingresos operacionales</v>
      </c>
      <c r="W15" s="118">
        <v>551.85353299999997</v>
      </c>
      <c r="X15" s="118">
        <f>+[33]EEFF_Vías_Chi!Y15</f>
        <v>637.03604500000006</v>
      </c>
    </row>
    <row r="16" spans="1:24" ht="15.5">
      <c r="A16" s="46"/>
      <c r="B16" s="83" t="s">
        <v>40</v>
      </c>
      <c r="C16" s="118">
        <v>26992</v>
      </c>
      <c r="D16" s="118">
        <v>24167</v>
      </c>
      <c r="E16" s="118">
        <v>5869</v>
      </c>
      <c r="F16" s="118">
        <v>6317</v>
      </c>
      <c r="G16" s="118">
        <v>6450</v>
      </c>
      <c r="H16" s="118">
        <v>6694</v>
      </c>
      <c r="I16" s="118">
        <v>6710</v>
      </c>
      <c r="J16" s="118">
        <v>6709</v>
      </c>
      <c r="K16" s="118">
        <v>8865</v>
      </c>
      <c r="L16" s="118">
        <v>8629</v>
      </c>
      <c r="M16" s="118">
        <v>6713</v>
      </c>
      <c r="N16" s="118">
        <v>6908</v>
      </c>
      <c r="O16" s="118">
        <f>24287-M16-N16</f>
        <v>10666</v>
      </c>
      <c r="P16" s="118">
        <v>9410.8489720000016</v>
      </c>
      <c r="Q16" s="118">
        <v>6704.550945</v>
      </c>
      <c r="R16" s="118">
        <v>8368.8429520000027</v>
      </c>
      <c r="S16" s="118">
        <v>8265.059162000005</v>
      </c>
      <c r="T16" s="118">
        <v>11446.127511999992</v>
      </c>
      <c r="V16" s="83" t="str">
        <f t="shared" si="0"/>
        <v>Costos y gastos AOM</v>
      </c>
      <c r="W16" s="118">
        <v>8155.9685239999999</v>
      </c>
      <c r="X16" s="118">
        <f>+[33]EEFF_Vías_Chi!Y16</f>
        <v>835.43048100000124</v>
      </c>
    </row>
    <row r="17" spans="1:24" ht="15.5">
      <c r="A17" s="46"/>
      <c r="B17" s="142" t="s">
        <v>41</v>
      </c>
      <c r="C17" s="151">
        <v>120746</v>
      </c>
      <c r="D17" s="151">
        <v>123136</v>
      </c>
      <c r="E17" s="151">
        <v>28899</v>
      </c>
      <c r="F17" s="151">
        <v>28051</v>
      </c>
      <c r="G17" s="151">
        <v>28359</v>
      </c>
      <c r="H17" s="151">
        <v>29434</v>
      </c>
      <c r="I17" s="151">
        <v>28358</v>
      </c>
      <c r="J17" s="151">
        <v>28603</v>
      </c>
      <c r="K17" s="151">
        <v>29142</v>
      </c>
      <c r="L17" s="151">
        <v>30537</v>
      </c>
      <c r="M17" s="151">
        <v>28689</v>
      </c>
      <c r="N17" s="151">
        <v>26216</v>
      </c>
      <c r="O17" s="151">
        <f>+SUM(O13:O15)-O16</f>
        <v>31037</v>
      </c>
      <c r="P17" s="151">
        <v>32560.406469000001</v>
      </c>
      <c r="Q17" s="151">
        <f>+Q13+Q14+Q15-Q16</f>
        <v>31602.111280400004</v>
      </c>
      <c r="R17" s="151">
        <v>32879.765611599985</v>
      </c>
      <c r="S17" s="151">
        <v>33933.720439999997</v>
      </c>
      <c r="T17" s="151">
        <v>39927.162149000011</v>
      </c>
      <c r="V17" s="83" t="s">
        <v>43</v>
      </c>
      <c r="W17" s="118">
        <v>176.06013300000001</v>
      </c>
      <c r="X17" s="118">
        <f>+[33]EEFF_Vías_Chi!Y17</f>
        <v>174.01734599999997</v>
      </c>
    </row>
    <row r="18" spans="1:24" ht="15.5">
      <c r="B18" s="85" t="s">
        <v>42</v>
      </c>
      <c r="C18" s="119">
        <v>123748</v>
      </c>
      <c r="D18" s="119">
        <v>124451</v>
      </c>
      <c r="E18" s="119">
        <v>29258</v>
      </c>
      <c r="F18" s="119">
        <v>28518</v>
      </c>
      <c r="G18" s="119">
        <v>28977</v>
      </c>
      <c r="H18" s="119">
        <v>30149</v>
      </c>
      <c r="I18" s="119">
        <v>28727</v>
      </c>
      <c r="J18" s="119">
        <v>29392</v>
      </c>
      <c r="K18" s="119">
        <v>30656</v>
      </c>
      <c r="L18" s="119">
        <v>32065</v>
      </c>
      <c r="M18" s="119">
        <v>29835</v>
      </c>
      <c r="N18" s="119">
        <v>27330</v>
      </c>
      <c r="O18" s="119">
        <f>+O11+O17</f>
        <v>32137</v>
      </c>
      <c r="P18" s="119">
        <v>35310.422027000001</v>
      </c>
      <c r="Q18" s="119">
        <f>+Q11+Q17</f>
        <v>32806.943031400006</v>
      </c>
      <c r="R18" s="119">
        <v>34315.201256599983</v>
      </c>
      <c r="S18" s="119">
        <v>34739.120993999997</v>
      </c>
      <c r="T18" s="119">
        <v>41047.746915000003</v>
      </c>
      <c r="V18" s="85" t="s">
        <v>1130</v>
      </c>
      <c r="W18" s="119">
        <v>34830.356391999994</v>
      </c>
      <c r="X18" s="119">
        <f>+[33]EEFF_Vías_Chi!Y18</f>
        <v>37869.749997999999</v>
      </c>
    </row>
    <row r="19" spans="1:24" ht="15.5">
      <c r="B19" s="82"/>
      <c r="C19" s="9"/>
      <c r="D19" s="9"/>
      <c r="E19" s="9"/>
      <c r="F19" s="9"/>
      <c r="G19" s="9"/>
      <c r="H19" s="9"/>
      <c r="I19" s="9"/>
      <c r="J19" s="9"/>
      <c r="K19" s="9"/>
      <c r="L19" s="9"/>
      <c r="M19" s="9"/>
      <c r="N19" s="9"/>
      <c r="O19" s="9"/>
      <c r="P19" s="9"/>
      <c r="Q19" s="9"/>
      <c r="R19" s="9"/>
      <c r="S19" s="9"/>
      <c r="T19" s="9"/>
      <c r="W19" s="9"/>
      <c r="X19" s="9"/>
    </row>
    <row r="20" spans="1:24" ht="15.5">
      <c r="B20" s="83" t="s">
        <v>43</v>
      </c>
      <c r="C20" s="118">
        <v>143</v>
      </c>
      <c r="D20" s="118">
        <v>371</v>
      </c>
      <c r="E20" s="118">
        <v>101</v>
      </c>
      <c r="F20" s="118">
        <v>102</v>
      </c>
      <c r="G20" s="118">
        <v>106</v>
      </c>
      <c r="H20" s="118">
        <v>109</v>
      </c>
      <c r="I20" s="118">
        <v>151</v>
      </c>
      <c r="J20" s="118">
        <v>186</v>
      </c>
      <c r="K20" s="118">
        <v>204</v>
      </c>
      <c r="L20" s="118">
        <v>207</v>
      </c>
      <c r="M20" s="118">
        <v>791</v>
      </c>
      <c r="N20" s="118">
        <v>1747</v>
      </c>
      <c r="O20" s="118">
        <f>567-M20-N20</f>
        <v>-1971</v>
      </c>
      <c r="P20" s="118">
        <v>200.22452900000002</v>
      </c>
      <c r="Q20" s="118">
        <v>197.630076</v>
      </c>
      <c r="R20" s="118">
        <v>197.33965600000002</v>
      </c>
      <c r="S20" s="118">
        <v>197.77583300000003</v>
      </c>
      <c r="T20" s="118">
        <v>193.14679699999999</v>
      </c>
      <c r="W20" s="118"/>
      <c r="X20" s="118"/>
    </row>
    <row r="21" spans="1:24" ht="15.5">
      <c r="B21" s="83" t="s">
        <v>44</v>
      </c>
      <c r="C21" s="118">
        <v>0</v>
      </c>
      <c r="D21" s="118">
        <v>0</v>
      </c>
      <c r="E21" s="118">
        <v>0</v>
      </c>
      <c r="F21" s="118">
        <v>0</v>
      </c>
      <c r="G21" s="118">
        <v>0</v>
      </c>
      <c r="H21" s="118">
        <v>0</v>
      </c>
      <c r="I21" s="118">
        <v>0</v>
      </c>
      <c r="J21" s="118">
        <v>0</v>
      </c>
      <c r="K21" s="118">
        <v>0</v>
      </c>
      <c r="L21" s="118">
        <v>0</v>
      </c>
      <c r="M21" s="118">
        <v>0</v>
      </c>
      <c r="N21" s="118">
        <v>0</v>
      </c>
      <c r="O21" s="118">
        <v>0</v>
      </c>
      <c r="P21" s="118"/>
      <c r="Q21" s="118"/>
      <c r="R21" s="118"/>
      <c r="S21" s="118">
        <v>0</v>
      </c>
      <c r="T21" s="118">
        <v>0</v>
      </c>
      <c r="V21" s="44" t="s">
        <v>44</v>
      </c>
      <c r="W21" s="118">
        <v>0</v>
      </c>
      <c r="X21" s="118">
        <f>+[33]EEFF_Vías_Chi!Y21</f>
        <v>0</v>
      </c>
    </row>
    <row r="22" spans="1:24" ht="15.5">
      <c r="B22" s="83" t="s">
        <v>45</v>
      </c>
      <c r="C22" s="118">
        <v>32</v>
      </c>
      <c r="D22" s="118">
        <v>93</v>
      </c>
      <c r="E22" s="118">
        <v>61</v>
      </c>
      <c r="F22" s="118">
        <v>51</v>
      </c>
      <c r="G22" s="118">
        <v>87</v>
      </c>
      <c r="H22" s="118">
        <v>80</v>
      </c>
      <c r="I22" s="118">
        <v>1405</v>
      </c>
      <c r="J22" s="118">
        <v>254</v>
      </c>
      <c r="K22" s="118">
        <v>501</v>
      </c>
      <c r="L22" s="118">
        <v>-544</v>
      </c>
      <c r="M22" s="118">
        <v>242</v>
      </c>
      <c r="N22" s="118">
        <v>-522</v>
      </c>
      <c r="O22" s="118">
        <f>1394-M22-N22</f>
        <v>1674</v>
      </c>
      <c r="P22" s="118">
        <v>-1091.6060549999997</v>
      </c>
      <c r="Q22" s="118">
        <v>593.74658700000009</v>
      </c>
      <c r="R22" s="118">
        <v>96.0867649999999</v>
      </c>
      <c r="S22" s="118">
        <v>-639.62353799999994</v>
      </c>
      <c r="T22" s="118">
        <v>-1494.9705960000001</v>
      </c>
      <c r="V22" s="44" t="s">
        <v>45</v>
      </c>
      <c r="W22" s="118">
        <v>-1197.7710119999999</v>
      </c>
      <c r="X22" s="118">
        <f>+[33]EEFF_Vías_Chi!Y22</f>
        <v>-1008.9179799999999</v>
      </c>
    </row>
    <row r="23" spans="1:24" ht="15.5">
      <c r="B23" s="85" t="s">
        <v>46</v>
      </c>
      <c r="C23" s="120">
        <v>123637</v>
      </c>
      <c r="D23" s="120">
        <v>124173</v>
      </c>
      <c r="E23" s="120">
        <v>29218</v>
      </c>
      <c r="F23" s="120">
        <v>28467</v>
      </c>
      <c r="G23" s="120">
        <v>28958</v>
      </c>
      <c r="H23" s="120">
        <v>30120</v>
      </c>
      <c r="I23" s="120">
        <v>29981</v>
      </c>
      <c r="J23" s="120">
        <v>29460</v>
      </c>
      <c r="K23" s="120">
        <v>30953</v>
      </c>
      <c r="L23" s="120">
        <v>31314</v>
      </c>
      <c r="M23" s="120">
        <v>29286</v>
      </c>
      <c r="N23" s="120">
        <v>25061</v>
      </c>
      <c r="O23" s="120">
        <f>+O18-O20+O21+O22</f>
        <v>35782</v>
      </c>
      <c r="P23" s="120">
        <v>34018.591443000005</v>
      </c>
      <c r="Q23" s="120">
        <f>+Q18-Q20+Q22</f>
        <v>33203.059542400006</v>
      </c>
      <c r="R23" s="120">
        <v>34213.948365599987</v>
      </c>
      <c r="S23" s="120">
        <v>33901.721622999998</v>
      </c>
      <c r="T23" s="120">
        <v>39359.629522000003</v>
      </c>
      <c r="V23" s="253" t="s">
        <v>46</v>
      </c>
      <c r="W23" s="120">
        <v>33632.585379999997</v>
      </c>
      <c r="X23" s="120">
        <f>+[33]EEFF_Vías_Chi!Y23</f>
        <v>36860.832017999994</v>
      </c>
    </row>
    <row r="24" spans="1:24" ht="15.5">
      <c r="B24" s="83"/>
      <c r="C24" s="118"/>
      <c r="D24" s="118"/>
      <c r="E24" s="118"/>
      <c r="F24" s="118"/>
      <c r="G24" s="118"/>
      <c r="H24" s="118"/>
      <c r="I24" s="118"/>
      <c r="J24" s="118"/>
      <c r="K24" s="118"/>
      <c r="L24" s="118"/>
      <c r="M24" s="118"/>
      <c r="N24" s="118"/>
      <c r="O24" s="118"/>
      <c r="P24" s="118"/>
      <c r="Q24" s="118"/>
      <c r="R24" s="118"/>
      <c r="S24" s="118"/>
      <c r="T24" s="118"/>
      <c r="V24" s="44"/>
      <c r="W24" s="118"/>
      <c r="X24" s="118">
        <f>+[33]EEFF_Vías_Chi!Y24</f>
        <v>0</v>
      </c>
    </row>
    <row r="25" spans="1:24" ht="15.5">
      <c r="B25" s="83" t="s">
        <v>47</v>
      </c>
      <c r="C25" s="118">
        <v>-72222</v>
      </c>
      <c r="D25" s="118">
        <v>-66853</v>
      </c>
      <c r="E25" s="118">
        <v>-17675</v>
      </c>
      <c r="F25" s="118">
        <v>-16833</v>
      </c>
      <c r="G25" s="118">
        <v>-20151</v>
      </c>
      <c r="H25" s="118">
        <v>-14305</v>
      </c>
      <c r="I25" s="118">
        <v>-15276</v>
      </c>
      <c r="J25" s="118">
        <v>-20273</v>
      </c>
      <c r="K25" s="118">
        <v>-13119</v>
      </c>
      <c r="L25" s="118">
        <v>-17430</v>
      </c>
      <c r="M25" s="118">
        <v>-17234</v>
      </c>
      <c r="N25" s="118">
        <v>-15702</v>
      </c>
      <c r="O25" s="118">
        <f>-48586-M25-N25+1</f>
        <v>-15649</v>
      </c>
      <c r="P25" s="118">
        <v>-28470.678848999996</v>
      </c>
      <c r="Q25" s="118">
        <f>10712.467852-Q14</f>
        <v>-20276.483225000004</v>
      </c>
      <c r="R25" s="118">
        <v>-20245.185588999993</v>
      </c>
      <c r="S25" s="118">
        <v>-21523.228683000001</v>
      </c>
      <c r="T25" s="118">
        <v>-34939.328216000009</v>
      </c>
      <c r="V25" s="44" t="s">
        <v>47</v>
      </c>
      <c r="W25" s="118">
        <v>-29374.705303999996</v>
      </c>
      <c r="X25" s="118">
        <f>+[33]EEFF_Vías_Chi!Y25</f>
        <v>-43006.689216999999</v>
      </c>
    </row>
    <row r="26" spans="1:24" ht="15.5">
      <c r="B26" s="85" t="s">
        <v>48</v>
      </c>
      <c r="C26" s="120">
        <v>51415</v>
      </c>
      <c r="D26" s="120">
        <v>57320</v>
      </c>
      <c r="E26" s="120">
        <v>11543</v>
      </c>
      <c r="F26" s="120">
        <v>11634</v>
      </c>
      <c r="G26" s="120">
        <v>8807</v>
      </c>
      <c r="H26" s="120">
        <v>15815</v>
      </c>
      <c r="I26" s="120">
        <v>14705</v>
      </c>
      <c r="J26" s="120">
        <v>9187</v>
      </c>
      <c r="K26" s="120">
        <v>17834</v>
      </c>
      <c r="L26" s="120">
        <v>13884</v>
      </c>
      <c r="M26" s="120">
        <v>12052</v>
      </c>
      <c r="N26" s="120">
        <v>9359</v>
      </c>
      <c r="O26" s="120">
        <f>+O23+O25</f>
        <v>20133</v>
      </c>
      <c r="P26" s="120">
        <v>5547.9125940000085</v>
      </c>
      <c r="Q26" s="120">
        <f>+Q23+Q25</f>
        <v>12926.576317400002</v>
      </c>
      <c r="R26" s="120">
        <v>13968.762776599993</v>
      </c>
      <c r="S26" s="120">
        <v>12378.492939999996</v>
      </c>
      <c r="T26" s="120">
        <v>4420.3013059999939</v>
      </c>
      <c r="V26" s="253" t="s">
        <v>48</v>
      </c>
      <c r="W26" s="120">
        <v>4257.8800760000013</v>
      </c>
      <c r="X26" s="120">
        <f>+[33]EEFF_Vías_Chi!Y26</f>
        <v>-6145.8571990000055</v>
      </c>
    </row>
    <row r="27" spans="1:24" ht="15.5">
      <c r="B27" s="82"/>
      <c r="C27" s="9"/>
      <c r="D27" s="9"/>
      <c r="E27" s="9"/>
      <c r="F27" s="9"/>
      <c r="G27" s="9"/>
      <c r="H27" s="9"/>
      <c r="I27" s="9"/>
      <c r="J27" s="9"/>
      <c r="K27" s="9"/>
      <c r="L27" s="9"/>
      <c r="M27" s="9"/>
      <c r="N27" s="9"/>
      <c r="O27" s="9"/>
      <c r="P27" s="9"/>
      <c r="Q27" s="9"/>
      <c r="R27" s="9"/>
      <c r="S27" s="9"/>
      <c r="T27" s="9"/>
      <c r="V27" s="404"/>
      <c r="W27" s="9"/>
      <c r="X27" s="9"/>
    </row>
    <row r="28" spans="1:24" ht="15.5">
      <c r="B28" s="83" t="s">
        <v>49</v>
      </c>
      <c r="C28" s="118">
        <v>9109</v>
      </c>
      <c r="D28" s="118">
        <v>12227</v>
      </c>
      <c r="E28" s="118">
        <v>1978</v>
      </c>
      <c r="F28" s="118">
        <v>1777</v>
      </c>
      <c r="G28" s="118">
        <v>1329</v>
      </c>
      <c r="H28" s="118">
        <v>-254</v>
      </c>
      <c r="I28" s="118">
        <v>3898</v>
      </c>
      <c r="J28" s="118">
        <v>118</v>
      </c>
      <c r="K28" s="118">
        <v>3933</v>
      </c>
      <c r="L28" s="118">
        <v>2148</v>
      </c>
      <c r="M28" s="118">
        <v>1278</v>
      </c>
      <c r="N28" s="118">
        <v>1944</v>
      </c>
      <c r="O28" s="118">
        <f>8432-M28-N28</f>
        <v>5210</v>
      </c>
      <c r="P28" s="118">
        <v>-351.81883400000004</v>
      </c>
      <c r="Q28" s="118">
        <v>1400.2524350000001</v>
      </c>
      <c r="R28" s="118">
        <v>1922.642889</v>
      </c>
      <c r="S28" s="118">
        <v>2453.1864569999998</v>
      </c>
      <c r="T28" s="118">
        <v>-5559.9595209999998</v>
      </c>
      <c r="V28" s="44" t="s">
        <v>49</v>
      </c>
      <c r="W28" s="118">
        <v>859.85943799999995</v>
      </c>
      <c r="X28" s="118">
        <f>+[33]EEFF_Vías_Chi!Y28</f>
        <v>-12659.656793</v>
      </c>
    </row>
    <row r="29" spans="1:24" ht="15.5">
      <c r="B29" s="85" t="s">
        <v>52</v>
      </c>
      <c r="C29" s="120">
        <v>42306</v>
      </c>
      <c r="D29" s="120">
        <v>45093</v>
      </c>
      <c r="E29" s="120">
        <v>9565</v>
      </c>
      <c r="F29" s="120">
        <v>9857</v>
      </c>
      <c r="G29" s="120">
        <v>7478</v>
      </c>
      <c r="H29" s="120">
        <v>16069</v>
      </c>
      <c r="I29" s="120">
        <v>10807</v>
      </c>
      <c r="J29" s="120">
        <v>9069</v>
      </c>
      <c r="K29" s="120">
        <v>13901</v>
      </c>
      <c r="L29" s="120">
        <v>11736</v>
      </c>
      <c r="M29" s="120">
        <v>10774</v>
      </c>
      <c r="N29" s="120">
        <v>7415</v>
      </c>
      <c r="O29" s="120">
        <f>+O26-O28</f>
        <v>14923</v>
      </c>
      <c r="P29" s="120">
        <v>5899.7314280000082</v>
      </c>
      <c r="Q29" s="120">
        <f>+Q26-Q28</f>
        <v>11526.323882400002</v>
      </c>
      <c r="R29" s="120">
        <v>12046.119887599993</v>
      </c>
      <c r="S29" s="120">
        <v>9925.3064829999967</v>
      </c>
      <c r="T29" s="120">
        <v>9980.2608269999946</v>
      </c>
      <c r="V29" s="253" t="s">
        <v>52</v>
      </c>
      <c r="W29" s="120">
        <v>3398.0206380000013</v>
      </c>
      <c r="X29" s="120">
        <f>+[33]EEFF_Vías_Chi!Y29</f>
        <v>6513.7995939999946</v>
      </c>
    </row>
    <row r="30" spans="1:24" ht="15.5">
      <c r="B30" s="143"/>
      <c r="C30" s="143"/>
      <c r="D30" s="143"/>
      <c r="E30" s="143"/>
      <c r="F30" s="143"/>
      <c r="G30" s="143"/>
      <c r="H30" s="143"/>
      <c r="I30" s="143"/>
      <c r="J30" s="143"/>
      <c r="K30" s="143"/>
      <c r="L30" s="143"/>
      <c r="M30" s="143"/>
      <c r="N30" s="143"/>
      <c r="O30" s="143"/>
      <c r="P30" s="46"/>
      <c r="Q30" s="46"/>
      <c r="V30" s="46"/>
      <c r="W30" s="653"/>
      <c r="X30" s="653"/>
    </row>
    <row r="31" spans="1:24" ht="15.5">
      <c r="B31" s="62" t="s">
        <v>359</v>
      </c>
      <c r="C31" s="143"/>
      <c r="D31" s="143"/>
      <c r="E31" s="143"/>
      <c r="F31" s="143"/>
      <c r="G31" s="143"/>
      <c r="H31" s="88"/>
      <c r="I31" s="88"/>
      <c r="J31" s="88"/>
      <c r="K31" s="88"/>
      <c r="L31" s="88"/>
      <c r="M31" s="88"/>
      <c r="N31" s="88"/>
      <c r="O31" s="88"/>
      <c r="P31" s="46"/>
      <c r="Q31" s="46"/>
      <c r="V31" s="85" t="s">
        <v>1104</v>
      </c>
      <c r="W31" s="120">
        <v>33991</v>
      </c>
      <c r="X31" s="120">
        <f>+[33]EEFF_Vías_Chi!Y31</f>
        <v>-6319.8745450000051</v>
      </c>
    </row>
    <row r="32" spans="1:24" ht="15.5">
      <c r="B32" s="165" t="s">
        <v>356</v>
      </c>
      <c r="C32" s="143"/>
      <c r="D32" s="143"/>
      <c r="E32" s="143"/>
      <c r="F32" s="143"/>
      <c r="G32" s="143"/>
      <c r="H32" s="89"/>
      <c r="I32" s="89"/>
      <c r="J32" s="89"/>
      <c r="K32" s="89"/>
      <c r="L32" s="89"/>
      <c r="M32" s="89"/>
      <c r="N32" s="89"/>
      <c r="O32" s="89"/>
      <c r="P32" s="46"/>
      <c r="Q32" s="46"/>
    </row>
    <row r="33" spans="2:24" ht="15.5">
      <c r="B33" s="90"/>
      <c r="C33" s="143"/>
      <c r="D33" s="143"/>
      <c r="E33" s="143"/>
      <c r="F33" s="143"/>
      <c r="G33" s="143"/>
      <c r="H33" s="90"/>
      <c r="I33" s="90"/>
      <c r="J33" s="90"/>
      <c r="K33" s="90"/>
      <c r="L33" s="90"/>
      <c r="M33" s="90"/>
      <c r="N33" s="90"/>
      <c r="O33" s="90"/>
      <c r="P33" s="46"/>
      <c r="Q33" s="46"/>
    </row>
    <row r="34" spans="2:24" s="46" customFormat="1" ht="15.5" thickBot="1">
      <c r="B34" s="148"/>
      <c r="C34" s="149">
        <v>2016</v>
      </c>
      <c r="D34" s="149">
        <v>2017</v>
      </c>
      <c r="E34" s="149" t="s">
        <v>19</v>
      </c>
      <c r="F34" s="149" t="s">
        <v>20</v>
      </c>
      <c r="G34" s="149" t="s">
        <v>21</v>
      </c>
      <c r="H34" s="149" t="s">
        <v>22</v>
      </c>
      <c r="I34" s="149" t="s">
        <v>23</v>
      </c>
      <c r="J34" s="149" t="s">
        <v>24</v>
      </c>
      <c r="K34" s="149" t="s">
        <v>25</v>
      </c>
      <c r="L34" s="149" t="s">
        <v>26</v>
      </c>
      <c r="M34" s="149" t="s">
        <v>27</v>
      </c>
      <c r="N34" s="149" t="s">
        <v>28</v>
      </c>
      <c r="O34" s="149" t="s">
        <v>29</v>
      </c>
      <c r="P34" s="340" t="s">
        <v>722</v>
      </c>
      <c r="Q34" s="340" t="s">
        <v>739</v>
      </c>
      <c r="R34" s="340" t="s">
        <v>912</v>
      </c>
      <c r="S34" s="340" t="s">
        <v>1051</v>
      </c>
      <c r="T34" s="340" t="s">
        <v>1089</v>
      </c>
      <c r="V34" s="282"/>
      <c r="W34" s="654" t="s">
        <v>1109</v>
      </c>
      <c r="X34" s="654" t="s">
        <v>1190</v>
      </c>
    </row>
    <row r="35" spans="2:24" s="46" customFormat="1" ht="15">
      <c r="B35" s="179" t="s">
        <v>55</v>
      </c>
      <c r="C35" s="180"/>
      <c r="D35" s="180"/>
      <c r="E35" s="180"/>
      <c r="F35" s="180"/>
      <c r="G35" s="180"/>
      <c r="H35" s="180"/>
      <c r="I35" s="180"/>
      <c r="J35" s="180"/>
      <c r="K35" s="180"/>
      <c r="L35" s="180"/>
      <c r="M35" s="180"/>
      <c r="N35" s="180"/>
      <c r="O35" s="180"/>
      <c r="P35" s="180"/>
      <c r="Q35" s="180"/>
      <c r="R35" s="180"/>
      <c r="S35" s="180"/>
      <c r="T35" s="180"/>
      <c r="V35" s="179" t="s">
        <v>55</v>
      </c>
      <c r="W35" s="655"/>
      <c r="X35" s="655"/>
    </row>
    <row r="36" spans="2:24" ht="15.5" thickBot="1">
      <c r="B36" s="126" t="s">
        <v>56</v>
      </c>
      <c r="C36" s="127"/>
      <c r="D36" s="127"/>
      <c r="E36" s="127"/>
      <c r="F36" s="127"/>
      <c r="G36" s="127"/>
      <c r="H36" s="127"/>
      <c r="I36" s="127"/>
      <c r="J36" s="127"/>
      <c r="K36" s="127"/>
      <c r="L36" s="127"/>
      <c r="M36" s="127"/>
      <c r="N36" s="127"/>
      <c r="O36" s="127"/>
      <c r="P36" s="127"/>
      <c r="Q36" s="127"/>
      <c r="R36" s="127"/>
      <c r="S36" s="127"/>
      <c r="T36" s="127"/>
      <c r="V36" s="126" t="s">
        <v>56</v>
      </c>
      <c r="W36" s="656"/>
      <c r="X36" s="656"/>
    </row>
    <row r="37" spans="2:24" s="42" customFormat="1" ht="16" thickBot="1">
      <c r="B37" s="194" t="s">
        <v>57</v>
      </c>
      <c r="C37" s="195">
        <v>23780</v>
      </c>
      <c r="D37" s="195">
        <v>58396</v>
      </c>
      <c r="E37" s="195">
        <v>71772</v>
      </c>
      <c r="F37" s="195">
        <v>69675</v>
      </c>
      <c r="G37" s="195">
        <v>84519</v>
      </c>
      <c r="H37" s="195">
        <v>14993</v>
      </c>
      <c r="I37" s="195">
        <v>88153</v>
      </c>
      <c r="J37" s="195">
        <v>32519</v>
      </c>
      <c r="K37" s="195">
        <v>28794</v>
      </c>
      <c r="L37" s="195">
        <v>107023</v>
      </c>
      <c r="M37" s="195">
        <v>63442</v>
      </c>
      <c r="N37" s="195">
        <v>73305</v>
      </c>
      <c r="O37" s="195">
        <v>66213</v>
      </c>
      <c r="P37" s="195">
        <v>78660.329572999995</v>
      </c>
      <c r="Q37" s="195">
        <v>80818.542000000001</v>
      </c>
      <c r="R37" s="195">
        <v>103157.99000400001</v>
      </c>
      <c r="S37" s="195">
        <v>104418.43581</v>
      </c>
      <c r="T37" s="195">
        <v>63329.842559999997</v>
      </c>
      <c r="V37" s="194" t="s">
        <v>57</v>
      </c>
      <c r="W37" s="657">
        <v>86227.966939999998</v>
      </c>
      <c r="X37" s="657">
        <f>+[33]EEFF_Vías_Chi!Y37</f>
        <v>128957.802866</v>
      </c>
    </row>
    <row r="38" spans="2:24" s="42" customFormat="1" ht="16" thickBot="1">
      <c r="B38" s="194" t="s">
        <v>58</v>
      </c>
      <c r="C38" s="195">
        <f>128874+21470</f>
        <v>150344</v>
      </c>
      <c r="D38" s="195">
        <v>129338</v>
      </c>
      <c r="E38" s="195">
        <v>150077</v>
      </c>
      <c r="F38" s="195">
        <v>152551</v>
      </c>
      <c r="G38" s="195">
        <v>150703</v>
      </c>
      <c r="H38" s="195">
        <v>207466</v>
      </c>
      <c r="I38" s="195">
        <v>161282</v>
      </c>
      <c r="J38" s="195">
        <v>358114</v>
      </c>
      <c r="K38" s="195">
        <v>377042</v>
      </c>
      <c r="L38" s="195">
        <v>276863</v>
      </c>
      <c r="M38" s="195">
        <v>296045</v>
      </c>
      <c r="N38" s="195">
        <v>260736</v>
      </c>
      <c r="O38" s="195">
        <v>252595</v>
      </c>
      <c r="P38" s="195">
        <v>219704.89140399999</v>
      </c>
      <c r="Q38" s="195">
        <f>210034.474+23257.443</f>
        <v>233291.91699999999</v>
      </c>
      <c r="R38" s="195">
        <v>207363.33536299999</v>
      </c>
      <c r="S38" s="195">
        <v>231482.68868699999</v>
      </c>
      <c r="T38" s="195">
        <v>212001.211587</v>
      </c>
      <c r="V38" s="194" t="s">
        <v>58</v>
      </c>
      <c r="W38" s="657">
        <v>234284.73655900001</v>
      </c>
      <c r="X38" s="657">
        <f>+[33]EEFF_Vías_Chi!Y38</f>
        <v>212202.23999199999</v>
      </c>
    </row>
    <row r="39" spans="2:24" s="42" customFormat="1" ht="16" thickBot="1">
      <c r="B39" s="194" t="s">
        <v>59</v>
      </c>
      <c r="C39" s="195">
        <v>59</v>
      </c>
      <c r="D39" s="195">
        <v>39</v>
      </c>
      <c r="E39" s="195">
        <v>39</v>
      </c>
      <c r="F39" s="195">
        <v>39</v>
      </c>
      <c r="G39" s="195">
        <v>39</v>
      </c>
      <c r="H39" s="195">
        <v>3163</v>
      </c>
      <c r="I39" s="195">
        <v>3178</v>
      </c>
      <c r="J39" s="195">
        <v>3178</v>
      </c>
      <c r="K39" s="195">
        <v>3178</v>
      </c>
      <c r="L39" s="195">
        <v>5275</v>
      </c>
      <c r="M39" s="195">
        <v>3178</v>
      </c>
      <c r="N39" s="195">
        <v>3178</v>
      </c>
      <c r="O39" s="195">
        <v>3178</v>
      </c>
      <c r="P39" s="195">
        <v>2628.049649</v>
      </c>
      <c r="Q39" s="195">
        <v>2628.05</v>
      </c>
      <c r="R39" s="195">
        <v>59.936132000000001</v>
      </c>
      <c r="S39" s="195">
        <v>59.936132000000001</v>
      </c>
      <c r="T39" s="195">
        <v>80.620692000000005</v>
      </c>
      <c r="V39" s="194" t="s">
        <v>59</v>
      </c>
      <c r="W39" s="657">
        <v>80.620692000000005</v>
      </c>
      <c r="X39" s="657">
        <f>+[33]EEFF_Vías_Chi!Y39</f>
        <v>80.620692000000005</v>
      </c>
    </row>
    <row r="40" spans="2:24" s="42" customFormat="1" ht="16" thickBot="1">
      <c r="B40" s="194" t="s">
        <v>61</v>
      </c>
      <c r="C40" s="195">
        <v>544</v>
      </c>
      <c r="D40" s="195">
        <v>654</v>
      </c>
      <c r="E40" s="195">
        <v>326</v>
      </c>
      <c r="F40" s="195">
        <v>1403</v>
      </c>
      <c r="G40" s="195">
        <v>1319</v>
      </c>
      <c r="H40" s="195">
        <v>1060</v>
      </c>
      <c r="I40" s="195">
        <v>910</v>
      </c>
      <c r="J40" s="195">
        <v>898</v>
      </c>
      <c r="K40" s="195">
        <v>619</v>
      </c>
      <c r="L40" s="195">
        <v>1266</v>
      </c>
      <c r="M40" s="195">
        <v>1270</v>
      </c>
      <c r="N40" s="195">
        <v>1244</v>
      </c>
      <c r="O40" s="195">
        <v>880</v>
      </c>
      <c r="P40" s="195">
        <v>1910.5675819999999</v>
      </c>
      <c r="Q40" s="195">
        <v>2474.4769999999999</v>
      </c>
      <c r="R40" s="195">
        <v>1998.913939</v>
      </c>
      <c r="S40" s="195">
        <v>1562.453659</v>
      </c>
      <c r="T40" s="195">
        <v>1146.156062</v>
      </c>
      <c r="V40" s="194" t="s">
        <v>61</v>
      </c>
      <c r="W40" s="657">
        <v>889.90542300000004</v>
      </c>
      <c r="X40" s="657">
        <f>+[33]EEFF_Vías_Chi!Y40</f>
        <v>3017.5825709999999</v>
      </c>
    </row>
    <row r="41" spans="2:24" s="42" customFormat="1" ht="16" thickBot="1">
      <c r="B41" s="194" t="s">
        <v>282</v>
      </c>
      <c r="C41" s="195">
        <v>0</v>
      </c>
      <c r="D41" s="195">
        <v>468</v>
      </c>
      <c r="E41" s="195">
        <v>455</v>
      </c>
      <c r="F41" s="195">
        <v>487</v>
      </c>
      <c r="G41" s="195">
        <v>504</v>
      </c>
      <c r="H41" s="195">
        <v>557</v>
      </c>
      <c r="I41" s="195">
        <v>594</v>
      </c>
      <c r="J41" s="195">
        <v>775</v>
      </c>
      <c r="K41" s="195">
        <v>630</v>
      </c>
      <c r="L41" s="195">
        <v>574</v>
      </c>
      <c r="M41" s="195">
        <v>609</v>
      </c>
      <c r="N41" s="195">
        <v>522</v>
      </c>
      <c r="O41" s="195">
        <v>502</v>
      </c>
      <c r="P41" s="195">
        <v>438.84922799999998</v>
      </c>
      <c r="Q41" s="195">
        <v>639.976</v>
      </c>
      <c r="R41" s="195">
        <v>717.87996099999998</v>
      </c>
      <c r="S41" s="195">
        <v>655.07920100000001</v>
      </c>
      <c r="T41" s="195">
        <v>617.30825500000003</v>
      </c>
      <c r="V41" s="194" t="s">
        <v>282</v>
      </c>
      <c r="W41" s="657">
        <v>607.08932900000002</v>
      </c>
      <c r="X41" s="657">
        <f>+[33]EEFF_Vías_Chi!Y41</f>
        <v>782.90594799999997</v>
      </c>
    </row>
    <row r="42" spans="2:24" s="42" customFormat="1" ht="15.5">
      <c r="B42" s="196" t="s">
        <v>62</v>
      </c>
      <c r="C42" s="197">
        <v>0</v>
      </c>
      <c r="D42" s="197">
        <v>0</v>
      </c>
      <c r="E42" s="197">
        <v>0</v>
      </c>
      <c r="F42" s="197">
        <v>0</v>
      </c>
      <c r="G42" s="197">
        <v>0</v>
      </c>
      <c r="H42" s="197">
        <v>0</v>
      </c>
      <c r="I42" s="197">
        <v>0</v>
      </c>
      <c r="J42" s="197">
        <v>0</v>
      </c>
      <c r="K42" s="197">
        <v>0</v>
      </c>
      <c r="L42" s="197">
        <v>0</v>
      </c>
      <c r="M42" s="197">
        <v>0</v>
      </c>
      <c r="N42" s="197">
        <v>0</v>
      </c>
      <c r="O42" s="197">
        <v>0</v>
      </c>
      <c r="P42" s="197"/>
      <c r="Q42" s="197"/>
      <c r="R42" s="197"/>
      <c r="S42" s="197">
        <v>0</v>
      </c>
      <c r="T42" s="197"/>
      <c r="V42" s="196" t="s">
        <v>62</v>
      </c>
      <c r="W42" s="658"/>
      <c r="X42" s="658">
        <f>+[33]EEFF_Vías_Chi!Y42</f>
        <v>0</v>
      </c>
    </row>
    <row r="43" spans="2:24" ht="15">
      <c r="B43" s="198" t="s">
        <v>63</v>
      </c>
      <c r="C43" s="185">
        <f t="shared" ref="C43:N43" si="1">SUM(C37:C42)</f>
        <v>174727</v>
      </c>
      <c r="D43" s="185">
        <f t="shared" si="1"/>
        <v>188895</v>
      </c>
      <c r="E43" s="185">
        <f t="shared" si="1"/>
        <v>222669</v>
      </c>
      <c r="F43" s="185">
        <f t="shared" si="1"/>
        <v>224155</v>
      </c>
      <c r="G43" s="185">
        <f t="shared" si="1"/>
        <v>237084</v>
      </c>
      <c r="H43" s="185">
        <f t="shared" si="1"/>
        <v>227239</v>
      </c>
      <c r="I43" s="185">
        <f t="shared" si="1"/>
        <v>254117</v>
      </c>
      <c r="J43" s="185">
        <f t="shared" si="1"/>
        <v>395484</v>
      </c>
      <c r="K43" s="185">
        <f t="shared" si="1"/>
        <v>410263</v>
      </c>
      <c r="L43" s="185">
        <f t="shared" si="1"/>
        <v>391001</v>
      </c>
      <c r="M43" s="185">
        <f t="shared" si="1"/>
        <v>364544</v>
      </c>
      <c r="N43" s="185">
        <f t="shared" si="1"/>
        <v>338985</v>
      </c>
      <c r="O43" s="185">
        <v>323368</v>
      </c>
      <c r="P43" s="185">
        <f>SUM(P37:P42)</f>
        <v>303342.68743599992</v>
      </c>
      <c r="Q43" s="185">
        <f>SUM(Q37:Q42)</f>
        <v>319852.962</v>
      </c>
      <c r="R43" s="185">
        <v>313298.055399</v>
      </c>
      <c r="S43" s="185">
        <v>338178.59348899999</v>
      </c>
      <c r="T43" s="185">
        <v>277175.13915600005</v>
      </c>
      <c r="V43" s="132" t="s">
        <v>63</v>
      </c>
      <c r="W43" s="659">
        <v>322090.31894299999</v>
      </c>
      <c r="X43" s="659">
        <f>+[33]EEFF_Vías_Chi!Y43</f>
        <v>345041.152069</v>
      </c>
    </row>
    <row r="44" spans="2:24" ht="15">
      <c r="B44" s="199" t="s">
        <v>64</v>
      </c>
      <c r="C44" s="200"/>
      <c r="D44" s="200"/>
      <c r="E44" s="200"/>
      <c r="F44" s="200"/>
      <c r="G44" s="200"/>
      <c r="H44" s="200"/>
      <c r="I44" s="200"/>
      <c r="J44" s="200"/>
      <c r="K44" s="200"/>
      <c r="L44" s="200"/>
      <c r="M44" s="200"/>
      <c r="N44" s="200"/>
      <c r="O44" s="200"/>
      <c r="P44" s="182"/>
      <c r="Q44" s="182"/>
      <c r="R44" s="182"/>
      <c r="S44" s="182"/>
      <c r="T44" s="182"/>
      <c r="V44" s="181" t="s">
        <v>64</v>
      </c>
      <c r="W44" s="623"/>
      <c r="X44" s="623">
        <f>+[33]EEFF_Vías_Chi!Y44</f>
        <v>0</v>
      </c>
    </row>
    <row r="45" spans="2:24" s="42" customFormat="1" ht="15.5">
      <c r="B45" s="201" t="s">
        <v>65</v>
      </c>
      <c r="C45" s="184">
        <v>0</v>
      </c>
      <c r="D45" s="184">
        <v>0</v>
      </c>
      <c r="E45" s="184">
        <v>0</v>
      </c>
      <c r="F45" s="184">
        <v>0</v>
      </c>
      <c r="G45" s="184">
        <v>0</v>
      </c>
      <c r="H45" s="184">
        <v>0</v>
      </c>
      <c r="I45" s="184">
        <v>0</v>
      </c>
      <c r="J45" s="184">
        <v>0</v>
      </c>
      <c r="K45" s="184">
        <v>0</v>
      </c>
      <c r="L45" s="184">
        <v>0</v>
      </c>
      <c r="M45" s="184">
        <v>0</v>
      </c>
      <c r="N45" s="184">
        <v>0</v>
      </c>
      <c r="O45" s="184">
        <v>0</v>
      </c>
      <c r="P45" s="184">
        <v>0</v>
      </c>
      <c r="Q45" s="184">
        <v>0</v>
      </c>
      <c r="R45" s="184">
        <v>0</v>
      </c>
      <c r="S45" s="184">
        <v>0</v>
      </c>
      <c r="T45" s="184">
        <v>0</v>
      </c>
      <c r="V45" s="183" t="s">
        <v>65</v>
      </c>
      <c r="W45" s="660">
        <v>0</v>
      </c>
      <c r="X45" s="660">
        <f>+[33]EEFF_Vías_Chi!Y45</f>
        <v>0</v>
      </c>
    </row>
    <row r="46" spans="2:24" s="42" customFormat="1" ht="15.5">
      <c r="B46" s="201" t="s">
        <v>66</v>
      </c>
      <c r="C46" s="184">
        <v>0</v>
      </c>
      <c r="D46" s="184">
        <v>0</v>
      </c>
      <c r="E46" s="184">
        <v>0</v>
      </c>
      <c r="F46" s="184">
        <v>0</v>
      </c>
      <c r="G46" s="184">
        <v>0</v>
      </c>
      <c r="H46" s="184">
        <v>0</v>
      </c>
      <c r="I46" s="184">
        <v>0</v>
      </c>
      <c r="J46" s="184">
        <v>0</v>
      </c>
      <c r="K46" s="184">
        <v>0</v>
      </c>
      <c r="L46" s="184">
        <v>0</v>
      </c>
      <c r="M46" s="184">
        <v>0</v>
      </c>
      <c r="N46" s="184">
        <v>0</v>
      </c>
      <c r="O46" s="184">
        <v>0</v>
      </c>
      <c r="P46" s="184">
        <v>0</v>
      </c>
      <c r="Q46" s="184">
        <v>0</v>
      </c>
      <c r="R46" s="184">
        <v>0</v>
      </c>
      <c r="S46" s="184">
        <v>0</v>
      </c>
      <c r="T46" s="184">
        <v>0</v>
      </c>
      <c r="V46" s="183" t="s">
        <v>66</v>
      </c>
      <c r="W46" s="660">
        <v>0</v>
      </c>
      <c r="X46" s="660">
        <f>+[33]EEFF_Vías_Chi!Y46</f>
        <v>0</v>
      </c>
    </row>
    <row r="47" spans="2:24" s="42" customFormat="1" ht="30">
      <c r="B47" s="201" t="s">
        <v>113</v>
      </c>
      <c r="C47" s="184">
        <v>0</v>
      </c>
      <c r="D47" s="184">
        <v>0</v>
      </c>
      <c r="E47" s="184">
        <v>0</v>
      </c>
      <c r="F47" s="184">
        <v>0</v>
      </c>
      <c r="G47" s="184">
        <v>0</v>
      </c>
      <c r="H47" s="184">
        <v>0</v>
      </c>
      <c r="I47" s="184">
        <v>0</v>
      </c>
      <c r="J47" s="184">
        <v>0</v>
      </c>
      <c r="K47" s="184">
        <v>0</v>
      </c>
      <c r="L47" s="184">
        <v>0</v>
      </c>
      <c r="M47" s="184">
        <v>0</v>
      </c>
      <c r="N47" s="184">
        <v>0</v>
      </c>
      <c r="O47" s="184">
        <v>0</v>
      </c>
      <c r="P47" s="184">
        <v>0</v>
      </c>
      <c r="Q47" s="184">
        <v>0</v>
      </c>
      <c r="R47" s="184">
        <v>0</v>
      </c>
      <c r="S47" s="184">
        <v>0</v>
      </c>
      <c r="T47" s="184">
        <v>0</v>
      </c>
      <c r="V47" s="183" t="s">
        <v>113</v>
      </c>
      <c r="W47" s="660">
        <v>0</v>
      </c>
      <c r="X47" s="660">
        <f>+[33]EEFF_Vías_Chi!Y47</f>
        <v>0</v>
      </c>
    </row>
    <row r="48" spans="2:24" s="42" customFormat="1" ht="15.5">
      <c r="B48" s="201" t="s">
        <v>114</v>
      </c>
      <c r="C48" s="184">
        <v>0</v>
      </c>
      <c r="D48" s="184">
        <v>0</v>
      </c>
      <c r="E48" s="184">
        <v>0</v>
      </c>
      <c r="F48" s="184">
        <v>0</v>
      </c>
      <c r="G48" s="184">
        <v>0</v>
      </c>
      <c r="H48" s="184">
        <v>0</v>
      </c>
      <c r="I48" s="184">
        <v>0</v>
      </c>
      <c r="J48" s="184">
        <v>0</v>
      </c>
      <c r="K48" s="184">
        <v>0</v>
      </c>
      <c r="L48" s="184">
        <v>0</v>
      </c>
      <c r="M48" s="184">
        <v>0</v>
      </c>
      <c r="N48" s="184">
        <v>0</v>
      </c>
      <c r="O48" s="184">
        <v>0</v>
      </c>
      <c r="P48" s="184">
        <v>0</v>
      </c>
      <c r="Q48" s="184">
        <v>0</v>
      </c>
      <c r="R48" s="184">
        <v>0</v>
      </c>
      <c r="S48" s="184">
        <v>0</v>
      </c>
      <c r="T48" s="184">
        <v>0</v>
      </c>
      <c r="V48" s="183" t="s">
        <v>114</v>
      </c>
      <c r="W48" s="660">
        <v>0</v>
      </c>
      <c r="X48" s="660">
        <f>+[33]EEFF_Vías_Chi!Y48</f>
        <v>0</v>
      </c>
    </row>
    <row r="49" spans="2:24" s="42" customFormat="1" ht="15.5">
      <c r="B49" s="201" t="s">
        <v>58</v>
      </c>
      <c r="C49" s="184">
        <v>949045</v>
      </c>
      <c r="D49" s="184">
        <v>975679</v>
      </c>
      <c r="E49" s="184">
        <v>947480</v>
      </c>
      <c r="F49" s="184">
        <v>949610</v>
      </c>
      <c r="G49" s="184">
        <v>959295</v>
      </c>
      <c r="H49" s="184">
        <v>972773</v>
      </c>
      <c r="I49" s="184">
        <v>968001</v>
      </c>
      <c r="J49" s="184">
        <v>973867</v>
      </c>
      <c r="K49" s="184">
        <v>988013</v>
      </c>
      <c r="L49" s="184">
        <v>1005560</v>
      </c>
      <c r="M49" s="184">
        <v>1003605</v>
      </c>
      <c r="N49" s="184">
        <v>1035417</v>
      </c>
      <c r="O49" s="184">
        <v>1082561</v>
      </c>
      <c r="P49" s="184">
        <v>1115065.613415</v>
      </c>
      <c r="Q49" s="184">
        <v>1119293.703</v>
      </c>
      <c r="R49" s="184">
        <v>1137433.649037</v>
      </c>
      <c r="S49" s="184">
        <v>1137483.2274730001</v>
      </c>
      <c r="T49" s="184">
        <v>1142596.1357730001</v>
      </c>
      <c r="V49" s="183" t="s">
        <v>58</v>
      </c>
      <c r="W49" s="110">
        <v>1125524.3867490001</v>
      </c>
      <c r="X49" s="110">
        <f>+[33]EEFF_Vías_Chi!Y49</f>
        <v>1119614.761831</v>
      </c>
    </row>
    <row r="50" spans="2:24" s="42" customFormat="1" ht="15.5">
      <c r="B50" s="201" t="s">
        <v>69</v>
      </c>
      <c r="C50" s="184">
        <v>0</v>
      </c>
      <c r="D50" s="184">
        <v>0</v>
      </c>
      <c r="E50" s="184">
        <v>0</v>
      </c>
      <c r="F50" s="184">
        <v>0</v>
      </c>
      <c r="G50" s="184">
        <v>0</v>
      </c>
      <c r="H50" s="184">
        <v>0</v>
      </c>
      <c r="I50" s="184">
        <v>0</v>
      </c>
      <c r="J50" s="184">
        <v>0</v>
      </c>
      <c r="K50" s="184">
        <v>0</v>
      </c>
      <c r="L50" s="184">
        <v>0</v>
      </c>
      <c r="M50" s="184">
        <v>0</v>
      </c>
      <c r="N50" s="184">
        <v>0</v>
      </c>
      <c r="O50" s="184">
        <v>0</v>
      </c>
      <c r="P50" s="184">
        <v>0</v>
      </c>
      <c r="Q50" s="184">
        <v>0</v>
      </c>
      <c r="R50" s="184">
        <v>0</v>
      </c>
      <c r="S50" s="184">
        <v>0</v>
      </c>
      <c r="T50" s="184">
        <v>0</v>
      </c>
      <c r="V50" s="183" t="s">
        <v>69</v>
      </c>
      <c r="W50" s="660">
        <v>0</v>
      </c>
      <c r="X50" s="660">
        <f>+[33]EEFF_Vías_Chi!Y50</f>
        <v>0</v>
      </c>
    </row>
    <row r="51" spans="2:24" s="42" customFormat="1" ht="15.5">
      <c r="B51" s="201" t="s">
        <v>70</v>
      </c>
      <c r="C51" s="184">
        <v>385</v>
      </c>
      <c r="D51" s="184">
        <v>582</v>
      </c>
      <c r="E51" s="184">
        <v>569</v>
      </c>
      <c r="F51" s="184">
        <v>583</v>
      </c>
      <c r="G51" s="184">
        <v>593</v>
      </c>
      <c r="H51" s="184">
        <v>591</v>
      </c>
      <c r="I51" s="184">
        <v>1471</v>
      </c>
      <c r="J51" s="184">
        <v>554</v>
      </c>
      <c r="K51" s="184">
        <v>538</v>
      </c>
      <c r="L51" s="184">
        <v>227</v>
      </c>
      <c r="M51" s="184">
        <v>206</v>
      </c>
      <c r="N51" s="184">
        <v>181</v>
      </c>
      <c r="O51" s="184">
        <v>168</v>
      </c>
      <c r="P51" s="184">
        <v>151.289412</v>
      </c>
      <c r="Q51" s="184">
        <v>127.19152</v>
      </c>
      <c r="R51" s="184">
        <v>103.09362299999999</v>
      </c>
      <c r="S51" s="184">
        <v>79.039553999999995</v>
      </c>
      <c r="T51" s="184">
        <v>661.40132400000005</v>
      </c>
      <c r="V51" s="183" t="s">
        <v>70</v>
      </c>
      <c r="W51" s="110">
        <v>82.262679000000006</v>
      </c>
      <c r="X51" s="110">
        <f>+[33]EEFF_Vías_Chi!Y51</f>
        <v>110.989946</v>
      </c>
    </row>
    <row r="52" spans="2:24" s="42" customFormat="1" ht="15.5">
      <c r="B52" s="201" t="s">
        <v>71</v>
      </c>
      <c r="C52" s="184">
        <v>0</v>
      </c>
      <c r="D52" s="184">
        <v>0</v>
      </c>
      <c r="E52" s="184">
        <v>0</v>
      </c>
      <c r="F52" s="184">
        <v>0</v>
      </c>
      <c r="G52" s="184">
        <v>0</v>
      </c>
      <c r="H52" s="184">
        <v>0</v>
      </c>
      <c r="I52" s="184">
        <v>0</v>
      </c>
      <c r="J52" s="184">
        <v>0</v>
      </c>
      <c r="K52" s="184">
        <v>0</v>
      </c>
      <c r="L52" s="184">
        <v>0</v>
      </c>
      <c r="M52" s="184">
        <v>0</v>
      </c>
      <c r="N52" s="184">
        <v>0</v>
      </c>
      <c r="O52" s="184">
        <v>0</v>
      </c>
      <c r="P52" s="184">
        <v>0</v>
      </c>
      <c r="Q52" s="184">
        <v>0</v>
      </c>
      <c r="R52" s="184">
        <v>0</v>
      </c>
      <c r="S52" s="184">
        <v>0</v>
      </c>
      <c r="T52" s="184">
        <v>0</v>
      </c>
      <c r="V52" s="183" t="s">
        <v>71</v>
      </c>
      <c r="W52" s="660">
        <v>0</v>
      </c>
      <c r="X52" s="660">
        <f>+[33]EEFF_Vías_Chi!Y52</f>
        <v>0</v>
      </c>
    </row>
    <row r="53" spans="2:24" s="42" customFormat="1" ht="15.5">
      <c r="B53" s="201" t="s">
        <v>73</v>
      </c>
      <c r="C53" s="184">
        <v>881</v>
      </c>
      <c r="D53" s="184">
        <v>1064</v>
      </c>
      <c r="E53" s="184">
        <v>1008</v>
      </c>
      <c r="F53" s="184">
        <v>972</v>
      </c>
      <c r="G53" s="184">
        <v>915</v>
      </c>
      <c r="H53" s="184">
        <v>908</v>
      </c>
      <c r="I53" s="184">
        <v>870</v>
      </c>
      <c r="J53" s="184">
        <v>810</v>
      </c>
      <c r="K53" s="184">
        <v>749</v>
      </c>
      <c r="L53" s="184">
        <v>689</v>
      </c>
      <c r="M53" s="184">
        <v>629</v>
      </c>
      <c r="N53" s="184">
        <v>569</v>
      </c>
      <c r="O53" s="184">
        <v>509</v>
      </c>
      <c r="P53" s="184">
        <v>472.66735399999999</v>
      </c>
      <c r="Q53" s="184">
        <v>411.61863399999999</v>
      </c>
      <c r="R53" s="184">
        <v>350.56991699999998</v>
      </c>
      <c r="S53" s="184">
        <v>289.52120200000002</v>
      </c>
      <c r="T53" s="184">
        <v>228.472487</v>
      </c>
      <c r="V53" s="183" t="s">
        <v>73</v>
      </c>
      <c r="W53" s="110">
        <v>167.423768</v>
      </c>
      <c r="X53" s="110">
        <f>+[33]EEFF_Vías_Chi!Y53</f>
        <v>106.375046</v>
      </c>
    </row>
    <row r="54" spans="2:24" s="42" customFormat="1" ht="15.5">
      <c r="B54" s="201" t="s">
        <v>61</v>
      </c>
      <c r="C54" s="184">
        <v>0</v>
      </c>
      <c r="D54" s="184">
        <v>0</v>
      </c>
      <c r="E54" s="184">
        <v>0</v>
      </c>
      <c r="F54" s="184">
        <v>0</v>
      </c>
      <c r="G54" s="184">
        <v>0</v>
      </c>
      <c r="H54" s="184">
        <v>0</v>
      </c>
      <c r="I54" s="184">
        <v>0</v>
      </c>
      <c r="J54" s="184">
        <v>0</v>
      </c>
      <c r="K54" s="184">
        <v>0</v>
      </c>
      <c r="L54" s="184">
        <v>0</v>
      </c>
      <c r="M54" s="184">
        <v>0</v>
      </c>
      <c r="N54" s="184">
        <v>0</v>
      </c>
      <c r="O54" s="184">
        <v>0</v>
      </c>
      <c r="P54" s="184">
        <v>0</v>
      </c>
      <c r="Q54" s="184">
        <v>0</v>
      </c>
      <c r="R54" s="184">
        <v>0</v>
      </c>
      <c r="S54" s="184">
        <v>0</v>
      </c>
      <c r="T54" s="184">
        <v>0</v>
      </c>
      <c r="V54" s="183" t="s">
        <v>61</v>
      </c>
      <c r="W54" s="660">
        <v>0</v>
      </c>
      <c r="X54" s="660">
        <f>+[33]EEFF_Vías_Chi!Y54</f>
        <v>0</v>
      </c>
    </row>
    <row r="55" spans="2:24" s="42" customFormat="1" ht="15.5">
      <c r="B55" s="201" t="s">
        <v>74</v>
      </c>
      <c r="C55" s="184">
        <v>0</v>
      </c>
      <c r="D55" s="184">
        <v>0</v>
      </c>
      <c r="E55" s="184">
        <v>0</v>
      </c>
      <c r="F55" s="184">
        <v>0</v>
      </c>
      <c r="G55" s="184">
        <v>0</v>
      </c>
      <c r="H55" s="184">
        <v>0</v>
      </c>
      <c r="I55" s="184">
        <v>0</v>
      </c>
      <c r="J55" s="184">
        <v>0</v>
      </c>
      <c r="K55" s="184">
        <v>0</v>
      </c>
      <c r="L55" s="184">
        <v>0</v>
      </c>
      <c r="M55" s="184">
        <v>0</v>
      </c>
      <c r="N55" s="184">
        <v>0</v>
      </c>
      <c r="O55" s="184">
        <v>91</v>
      </c>
      <c r="P55" s="184">
        <v>0</v>
      </c>
      <c r="Q55" s="184">
        <v>0</v>
      </c>
      <c r="R55" s="184">
        <v>0</v>
      </c>
      <c r="S55" s="184">
        <v>0</v>
      </c>
      <c r="T55" s="184">
        <v>0</v>
      </c>
      <c r="V55" s="183" t="s">
        <v>74</v>
      </c>
      <c r="W55" s="110">
        <v>0</v>
      </c>
      <c r="X55" s="110">
        <f>+[33]EEFF_Vías_Chi!Y55</f>
        <v>0</v>
      </c>
    </row>
    <row r="56" spans="2:24" s="42" customFormat="1" ht="15.5">
      <c r="B56" s="201" t="s">
        <v>75</v>
      </c>
      <c r="C56" s="184">
        <v>0</v>
      </c>
      <c r="D56" s="184">
        <v>0</v>
      </c>
      <c r="E56" s="184">
        <v>0</v>
      </c>
      <c r="F56" s="184">
        <v>0</v>
      </c>
      <c r="G56" s="184">
        <v>0</v>
      </c>
      <c r="H56" s="184">
        <v>0</v>
      </c>
      <c r="I56" s="184">
        <v>-17</v>
      </c>
      <c r="J56" s="184">
        <v>1292</v>
      </c>
      <c r="K56" s="184">
        <v>1193</v>
      </c>
      <c r="L56" s="184">
        <v>1292</v>
      </c>
      <c r="M56" s="184">
        <v>1182</v>
      </c>
      <c r="N56" s="184">
        <v>1170</v>
      </c>
      <c r="O56" s="184">
        <v>1081</v>
      </c>
      <c r="P56" s="184">
        <v>1004.190327</v>
      </c>
      <c r="Q56" s="184">
        <v>891.706863</v>
      </c>
      <c r="R56" s="184">
        <v>810.76891599999999</v>
      </c>
      <c r="S56" s="184">
        <v>702.452001</v>
      </c>
      <c r="T56" s="184">
        <v>0</v>
      </c>
      <c r="V56" s="183" t="s">
        <v>75</v>
      </c>
      <c r="W56" s="660">
        <v>486.605594</v>
      </c>
      <c r="X56" s="660">
        <f>+[33]EEFF_Vías_Chi!Y56</f>
        <v>386.94254999999998</v>
      </c>
    </row>
    <row r="57" spans="2:24" s="42" customFormat="1" ht="15.5">
      <c r="B57" s="201" t="s">
        <v>62</v>
      </c>
      <c r="C57" s="184">
        <v>0</v>
      </c>
      <c r="D57" s="184">
        <v>0</v>
      </c>
      <c r="E57" s="184">
        <v>0</v>
      </c>
      <c r="F57" s="184">
        <v>0</v>
      </c>
      <c r="G57" s="184">
        <v>0</v>
      </c>
      <c r="H57" s="184">
        <v>0</v>
      </c>
      <c r="I57" s="184">
        <v>0</v>
      </c>
      <c r="J57" s="184">
        <v>0</v>
      </c>
      <c r="K57" s="184">
        <v>0</v>
      </c>
      <c r="L57" s="184">
        <v>0</v>
      </c>
      <c r="M57" s="184">
        <v>0</v>
      </c>
      <c r="N57" s="184">
        <v>0</v>
      </c>
      <c r="O57" s="184">
        <v>0</v>
      </c>
      <c r="P57" s="184"/>
      <c r="Q57" s="184"/>
      <c r="R57" s="184"/>
      <c r="S57" s="184">
        <v>0</v>
      </c>
      <c r="T57" s="184"/>
      <c r="V57" s="183" t="s">
        <v>62</v>
      </c>
      <c r="W57" s="660"/>
      <c r="X57" s="660">
        <f>+[33]EEFF_Vías_Chi!Y57</f>
        <v>0</v>
      </c>
    </row>
    <row r="58" spans="2:24" ht="15">
      <c r="B58" s="199" t="s">
        <v>77</v>
      </c>
      <c r="C58" s="186">
        <f t="shared" ref="C58:N58" si="2">SUM(C45:C57)</f>
        <v>950311</v>
      </c>
      <c r="D58" s="186">
        <f t="shared" si="2"/>
        <v>977325</v>
      </c>
      <c r="E58" s="186">
        <f t="shared" si="2"/>
        <v>949057</v>
      </c>
      <c r="F58" s="186">
        <f t="shared" si="2"/>
        <v>951165</v>
      </c>
      <c r="G58" s="186">
        <f t="shared" si="2"/>
        <v>960803</v>
      </c>
      <c r="H58" s="186">
        <f t="shared" si="2"/>
        <v>974272</v>
      </c>
      <c r="I58" s="186">
        <f t="shared" si="2"/>
        <v>970325</v>
      </c>
      <c r="J58" s="186">
        <f t="shared" si="2"/>
        <v>976523</v>
      </c>
      <c r="K58" s="186">
        <f t="shared" si="2"/>
        <v>990493</v>
      </c>
      <c r="L58" s="186">
        <f t="shared" si="2"/>
        <v>1007768</v>
      </c>
      <c r="M58" s="186">
        <f t="shared" si="2"/>
        <v>1005622</v>
      </c>
      <c r="N58" s="186">
        <f t="shared" si="2"/>
        <v>1037337</v>
      </c>
      <c r="O58" s="186">
        <v>1084410</v>
      </c>
      <c r="P58" s="186">
        <f>SUM(P45:P57)</f>
        <v>1116693.7605080002</v>
      </c>
      <c r="Q58" s="186">
        <f>SUM(Q45:Q57)</f>
        <v>1120724.2200170001</v>
      </c>
      <c r="R58" s="186">
        <v>1138698.0814929998</v>
      </c>
      <c r="S58" s="186">
        <v>1138554.2402300001</v>
      </c>
      <c r="T58" s="186">
        <v>1143486.0095840001</v>
      </c>
      <c r="V58" s="181" t="s">
        <v>77</v>
      </c>
      <c r="W58" s="661">
        <v>1126260.67879</v>
      </c>
      <c r="X58" s="661">
        <f>+[33]EEFF_Vías_Chi!Y58</f>
        <v>1120219.0693729999</v>
      </c>
    </row>
    <row r="59" spans="2:24" ht="15">
      <c r="B59" s="198" t="s">
        <v>78</v>
      </c>
      <c r="C59" s="185">
        <f t="shared" ref="C59:N59" si="3">+C43+C58</f>
        <v>1125038</v>
      </c>
      <c r="D59" s="185">
        <f t="shared" si="3"/>
        <v>1166220</v>
      </c>
      <c r="E59" s="185">
        <f t="shared" si="3"/>
        <v>1171726</v>
      </c>
      <c r="F59" s="185">
        <f t="shared" si="3"/>
        <v>1175320</v>
      </c>
      <c r="G59" s="185">
        <f t="shared" si="3"/>
        <v>1197887</v>
      </c>
      <c r="H59" s="185">
        <f t="shared" si="3"/>
        <v>1201511</v>
      </c>
      <c r="I59" s="185">
        <f t="shared" si="3"/>
        <v>1224442</v>
      </c>
      <c r="J59" s="185">
        <f t="shared" si="3"/>
        <v>1372007</v>
      </c>
      <c r="K59" s="185">
        <f t="shared" si="3"/>
        <v>1400756</v>
      </c>
      <c r="L59" s="185">
        <f t="shared" si="3"/>
        <v>1398769</v>
      </c>
      <c r="M59" s="185">
        <f t="shared" si="3"/>
        <v>1370166</v>
      </c>
      <c r="N59" s="185">
        <f t="shared" si="3"/>
        <v>1376322</v>
      </c>
      <c r="O59" s="185">
        <v>1407778</v>
      </c>
      <c r="P59" s="185">
        <f>+P43+P58</f>
        <v>1420036.4479440001</v>
      </c>
      <c r="Q59" s="185">
        <f>+Q43+Q58</f>
        <v>1440577.1820170002</v>
      </c>
      <c r="R59" s="185">
        <v>1451996.1368919997</v>
      </c>
      <c r="S59" s="185">
        <v>1476732.8337190002</v>
      </c>
      <c r="T59" s="185">
        <v>1420661.1487400001</v>
      </c>
      <c r="V59" s="132" t="s">
        <v>78</v>
      </c>
      <c r="W59" s="659">
        <v>1448350.997733</v>
      </c>
      <c r="X59" s="659">
        <f>+[33]EEFF_Vías_Chi!Y59</f>
        <v>1465260.221442</v>
      </c>
    </row>
    <row r="60" spans="2:24" ht="15.5" thickBot="1">
      <c r="B60" s="202"/>
      <c r="C60" s="203"/>
      <c r="D60" s="203"/>
      <c r="E60" s="203"/>
      <c r="F60" s="203"/>
      <c r="G60" s="203"/>
      <c r="H60" s="203"/>
      <c r="I60" s="203"/>
      <c r="J60" s="203"/>
      <c r="K60" s="203"/>
      <c r="L60" s="203"/>
      <c r="M60" s="203"/>
      <c r="N60" s="203"/>
      <c r="O60" s="203"/>
      <c r="P60" s="46"/>
      <c r="Q60" s="46"/>
      <c r="T60" s="46"/>
      <c r="V60" s="134"/>
      <c r="W60" s="653"/>
      <c r="X60" s="653">
        <f>+[33]EEFF_Vías_Chi!Y60</f>
        <v>0</v>
      </c>
    </row>
    <row r="61" spans="2:24" ht="15">
      <c r="B61" s="204" t="s">
        <v>79</v>
      </c>
      <c r="C61" s="180"/>
      <c r="D61" s="180"/>
      <c r="E61" s="180"/>
      <c r="F61" s="180"/>
      <c r="G61" s="180"/>
      <c r="H61" s="180"/>
      <c r="I61" s="180"/>
      <c r="J61" s="180"/>
      <c r="K61" s="180"/>
      <c r="L61" s="180"/>
      <c r="M61" s="180"/>
      <c r="N61" s="180"/>
      <c r="O61" s="180"/>
      <c r="P61" s="180"/>
      <c r="Q61" s="180"/>
      <c r="R61" s="180"/>
      <c r="S61" s="180"/>
      <c r="T61" s="180"/>
      <c r="V61" s="188" t="s">
        <v>79</v>
      </c>
      <c r="W61" s="655"/>
      <c r="X61" s="655">
        <f>+[33]EEFF_Vías_Chi!Y61</f>
        <v>0</v>
      </c>
    </row>
    <row r="62" spans="2:24" ht="15.5" thickBot="1">
      <c r="B62" s="199" t="s">
        <v>80</v>
      </c>
      <c r="C62" s="127"/>
      <c r="D62" s="127"/>
      <c r="E62" s="127"/>
      <c r="F62" s="127"/>
      <c r="G62" s="127"/>
      <c r="H62" s="127"/>
      <c r="I62" s="127"/>
      <c r="J62" s="127"/>
      <c r="K62" s="127"/>
      <c r="L62" s="127"/>
      <c r="M62" s="127"/>
      <c r="N62" s="127"/>
      <c r="O62" s="127"/>
      <c r="P62" s="127"/>
      <c r="Q62" s="127"/>
      <c r="R62" s="127"/>
      <c r="S62" s="127"/>
      <c r="T62" s="127"/>
      <c r="V62" s="181" t="s">
        <v>80</v>
      </c>
      <c r="W62" s="656"/>
      <c r="X62" s="656">
        <f>+[33]EEFF_Vías_Chi!Y62</f>
        <v>0</v>
      </c>
    </row>
    <row r="63" spans="2:24" s="42" customFormat="1" ht="15.5">
      <c r="B63" s="201" t="s">
        <v>81</v>
      </c>
      <c r="C63" s="184">
        <v>56294</v>
      </c>
      <c r="D63" s="184">
        <v>48260</v>
      </c>
      <c r="E63" s="184">
        <v>39776</v>
      </c>
      <c r="F63" s="184">
        <v>34831</v>
      </c>
      <c r="G63" s="184">
        <v>45192</v>
      </c>
      <c r="H63" s="184">
        <v>71718</v>
      </c>
      <c r="I63" s="184">
        <v>58956</v>
      </c>
      <c r="J63" s="184">
        <v>33815</v>
      </c>
      <c r="K63" s="184">
        <v>45990</v>
      </c>
      <c r="L63" s="184">
        <v>55333</v>
      </c>
      <c r="M63" s="184">
        <v>50226</v>
      </c>
      <c r="N63" s="184">
        <v>39903</v>
      </c>
      <c r="O63" s="184">
        <v>47256</v>
      </c>
      <c r="P63" s="184">
        <v>35318.455847999998</v>
      </c>
      <c r="Q63" s="184">
        <v>43320.639578000002</v>
      </c>
      <c r="R63" s="184">
        <v>32110.072753</v>
      </c>
      <c r="S63" s="184">
        <v>43219.475380000003</v>
      </c>
      <c r="T63" s="184">
        <v>27384.360008000003</v>
      </c>
      <c r="V63" s="183" t="s">
        <v>81</v>
      </c>
      <c r="W63" s="660">
        <v>57728.033616000001</v>
      </c>
      <c r="X63" s="660">
        <f>+[33]EEFF_Vías_Chi!Y63</f>
        <v>104592.081036</v>
      </c>
    </row>
    <row r="64" spans="2:24" s="42" customFormat="1" ht="15.5">
      <c r="B64" s="201" t="s">
        <v>82</v>
      </c>
      <c r="C64" s="184">
        <v>8692</v>
      </c>
      <c r="D64" s="184">
        <v>4638</v>
      </c>
      <c r="E64" s="184">
        <v>19863</v>
      </c>
      <c r="F64" s="184">
        <v>22688</v>
      </c>
      <c r="G64" s="184">
        <v>20923</v>
      </c>
      <c r="H64" s="184">
        <v>5349</v>
      </c>
      <c r="I64" s="184">
        <v>21520</v>
      </c>
      <c r="J64" s="184">
        <v>21740</v>
      </c>
      <c r="K64" s="184">
        <v>23163</v>
      </c>
      <c r="L64" s="184">
        <v>10043</v>
      </c>
      <c r="M64" s="184">
        <v>30342</v>
      </c>
      <c r="N64" s="184">
        <v>28901</v>
      </c>
      <c r="O64" s="184">
        <v>30819</v>
      </c>
      <c r="P64" s="184">
        <v>38663.811324000002</v>
      </c>
      <c r="Q64" s="184">
        <f>33510.959359-36.210137</f>
        <v>33474.749221999999</v>
      </c>
      <c r="R64" s="184">
        <v>33473.091207999998</v>
      </c>
      <c r="S64" s="184">
        <v>32845.959670999997</v>
      </c>
      <c r="T64" s="184">
        <v>33957.303997000003</v>
      </c>
      <c r="V64" s="183" t="s">
        <v>82</v>
      </c>
      <c r="W64" s="660">
        <v>9215.9828880000005</v>
      </c>
      <c r="X64" s="660">
        <f>+[33]EEFF_Vías_Chi!Y64</f>
        <v>12080.057290000001</v>
      </c>
    </row>
    <row r="65" spans="2:24" s="42" customFormat="1" ht="15.5">
      <c r="B65" s="201" t="s">
        <v>84</v>
      </c>
      <c r="C65" s="184">
        <v>0</v>
      </c>
      <c r="D65" s="184">
        <v>0</v>
      </c>
      <c r="E65" s="184">
        <v>163</v>
      </c>
      <c r="F65" s="184">
        <v>180</v>
      </c>
      <c r="G65" s="184">
        <v>162</v>
      </c>
      <c r="H65" s="184">
        <v>0</v>
      </c>
      <c r="I65" s="184">
        <v>167</v>
      </c>
      <c r="J65" s="184">
        <v>190</v>
      </c>
      <c r="K65" s="184">
        <v>211</v>
      </c>
      <c r="L65" s="184">
        <v>0</v>
      </c>
      <c r="M65" s="184">
        <v>191</v>
      </c>
      <c r="N65" s="184">
        <v>230</v>
      </c>
      <c r="O65" s="184">
        <v>266</v>
      </c>
      <c r="P65" s="184">
        <v>277.297101</v>
      </c>
      <c r="Q65" s="184">
        <v>213.516063</v>
      </c>
      <c r="R65" s="184">
        <v>243.48038600000001</v>
      </c>
      <c r="S65" s="184">
        <v>243.48038600000001</v>
      </c>
      <c r="T65" s="184">
        <v>240.27998099999999</v>
      </c>
      <c r="V65" s="183" t="s">
        <v>84</v>
      </c>
      <c r="W65" s="660">
        <v>204.18880999999999</v>
      </c>
      <c r="X65" s="660">
        <f>+[33]EEFF_Vías_Chi!Y65</f>
        <v>230.35429400000001</v>
      </c>
    </row>
    <row r="66" spans="2:24" s="42" customFormat="1" ht="15.5">
      <c r="B66" s="201" t="s">
        <v>59</v>
      </c>
      <c r="C66" s="184">
        <v>0</v>
      </c>
      <c r="D66" s="184">
        <v>1442</v>
      </c>
      <c r="E66" s="184">
        <v>1968</v>
      </c>
      <c r="F66" s="184">
        <v>1875</v>
      </c>
      <c r="G66" s="184">
        <v>1598</v>
      </c>
      <c r="H66" s="184">
        <v>1618</v>
      </c>
      <c r="I66" s="184">
        <v>1771</v>
      </c>
      <c r="J66" s="184">
        <v>1806</v>
      </c>
      <c r="K66" s="184">
        <v>6851</v>
      </c>
      <c r="L66" s="184">
        <v>0</v>
      </c>
      <c r="M66" s="184">
        <v>2505</v>
      </c>
      <c r="N66" s="184">
        <v>1137</v>
      </c>
      <c r="O66" s="184">
        <v>1240</v>
      </c>
      <c r="P66" s="184">
        <v>998.79442900000004</v>
      </c>
      <c r="Q66" s="184">
        <v>2101.3967630000002</v>
      </c>
      <c r="R66" s="184">
        <v>1820.3525979999999</v>
      </c>
      <c r="S66" s="184">
        <v>2076.0057630000001</v>
      </c>
      <c r="T66" s="184">
        <v>2272.4342660000002</v>
      </c>
      <c r="V66" s="183" t="s">
        <v>59</v>
      </c>
      <c r="W66" s="660">
        <v>2629.2194720000002</v>
      </c>
      <c r="X66" s="660">
        <f>+[33]EEFF_Vías_Chi!Y66</f>
        <v>2308.777059</v>
      </c>
    </row>
    <row r="67" spans="2:24" s="42" customFormat="1" ht="15.5">
      <c r="B67" s="201" t="s">
        <v>85</v>
      </c>
      <c r="C67" s="184">
        <v>0</v>
      </c>
      <c r="D67" s="184">
        <v>0</v>
      </c>
      <c r="E67" s="184">
        <v>0</v>
      </c>
      <c r="F67" s="184">
        <v>0</v>
      </c>
      <c r="G67" s="184">
        <v>922</v>
      </c>
      <c r="H67" s="184">
        <v>0</v>
      </c>
      <c r="I67" s="184">
        <v>694</v>
      </c>
      <c r="J67" s="184">
        <v>2975</v>
      </c>
      <c r="K67" s="184">
        <v>2947</v>
      </c>
      <c r="L67" s="184">
        <v>7007</v>
      </c>
      <c r="M67" s="184">
        <v>6071</v>
      </c>
      <c r="N67" s="184">
        <v>8092</v>
      </c>
      <c r="O67" s="184">
        <v>8095</v>
      </c>
      <c r="P67" s="184">
        <v>11436.014999999999</v>
      </c>
      <c r="Q67" s="184">
        <v>11351.347</v>
      </c>
      <c r="R67" s="184">
        <v>13647.532169</v>
      </c>
      <c r="S67" s="184">
        <v>15355.741</v>
      </c>
      <c r="T67" s="184">
        <v>12111.029498</v>
      </c>
      <c r="V67" s="183" t="s">
        <v>85</v>
      </c>
      <c r="W67" s="660">
        <v>12408.512487</v>
      </c>
      <c r="X67" s="660">
        <f>+[33]EEFF_Vías_Chi!Y67</f>
        <v>12501.872487000001</v>
      </c>
    </row>
    <row r="68" spans="2:24" s="42" customFormat="1" ht="15.5">
      <c r="B68" s="201" t="s">
        <v>83</v>
      </c>
      <c r="C68" s="184">
        <v>1292</v>
      </c>
      <c r="D68" s="184">
        <v>1120</v>
      </c>
      <c r="E68" s="184">
        <v>414</v>
      </c>
      <c r="F68" s="184">
        <v>739</v>
      </c>
      <c r="G68" s="184">
        <v>812</v>
      </c>
      <c r="H68" s="184">
        <v>1117</v>
      </c>
      <c r="I68" s="184">
        <v>550</v>
      </c>
      <c r="J68" s="184">
        <v>733</v>
      </c>
      <c r="K68" s="184">
        <v>1023</v>
      </c>
      <c r="L68" s="184">
        <v>1357</v>
      </c>
      <c r="M68" s="184">
        <v>481</v>
      </c>
      <c r="N68" s="184">
        <v>783</v>
      </c>
      <c r="O68" s="184">
        <v>836</v>
      </c>
      <c r="P68" s="184">
        <v>1163.2058919999999</v>
      </c>
      <c r="Q68" s="184">
        <v>473.45042699999999</v>
      </c>
      <c r="R68" s="184">
        <v>776.28130199999998</v>
      </c>
      <c r="S68" s="184">
        <v>880.65506900000003</v>
      </c>
      <c r="T68" s="184">
        <v>1276.1774789999999</v>
      </c>
      <c r="V68" s="183" t="s">
        <v>83</v>
      </c>
      <c r="W68" s="660">
        <v>526.46674599999994</v>
      </c>
      <c r="X68" s="660">
        <f>+[33]EEFF_Vías_Chi!Y68</f>
        <v>890.48920199999998</v>
      </c>
    </row>
    <row r="69" spans="2:24" s="42" customFormat="1" ht="15.5">
      <c r="B69" s="201" t="s">
        <v>86</v>
      </c>
      <c r="C69" s="184">
        <v>2838</v>
      </c>
      <c r="D69" s="184">
        <v>2</v>
      </c>
      <c r="E69" s="184">
        <v>0</v>
      </c>
      <c r="F69" s="184">
        <v>0</v>
      </c>
      <c r="G69" s="184">
        <v>0</v>
      </c>
      <c r="H69" s="184">
        <v>1</v>
      </c>
      <c r="I69" s="184">
        <v>0</v>
      </c>
      <c r="J69" s="184">
        <v>0</v>
      </c>
      <c r="K69" s="184">
        <v>0</v>
      </c>
      <c r="L69" s="184">
        <v>0</v>
      </c>
      <c r="M69" s="184">
        <v>0</v>
      </c>
      <c r="N69" s="184">
        <v>243</v>
      </c>
      <c r="O69" s="184">
        <v>254</v>
      </c>
      <c r="P69" s="184">
        <v>294.09186399999999</v>
      </c>
      <c r="Q69" s="184">
        <v>317.47848099999999</v>
      </c>
      <c r="R69" s="184">
        <v>364.50745000000001</v>
      </c>
      <c r="S69" s="184">
        <v>441.14176300000003</v>
      </c>
      <c r="T69" s="184">
        <v>420.423698</v>
      </c>
      <c r="V69" s="183" t="s">
        <v>86</v>
      </c>
      <c r="W69" s="660">
        <v>6110.1125659999998</v>
      </c>
      <c r="X69" s="660">
        <f>+[33]EEFF_Vías_Chi!Y69</f>
        <v>504.57328899999999</v>
      </c>
    </row>
    <row r="70" spans="2:24" s="42" customFormat="1" ht="15.5">
      <c r="B70" s="201" t="s">
        <v>115</v>
      </c>
      <c r="C70" s="184">
        <v>0</v>
      </c>
      <c r="D70" s="184">
        <v>0</v>
      </c>
      <c r="E70" s="184">
        <v>0</v>
      </c>
      <c r="F70" s="184">
        <v>0</v>
      </c>
      <c r="G70" s="184">
        <v>0</v>
      </c>
      <c r="H70" s="184">
        <v>0</v>
      </c>
      <c r="I70" s="184">
        <v>0</v>
      </c>
      <c r="J70" s="184">
        <v>0</v>
      </c>
      <c r="K70" s="184">
        <v>0</v>
      </c>
      <c r="L70" s="184">
        <v>0</v>
      </c>
      <c r="M70" s="184">
        <v>0</v>
      </c>
      <c r="N70" s="184">
        <v>0</v>
      </c>
      <c r="O70" s="184">
        <v>0</v>
      </c>
      <c r="P70" s="184">
        <v>0</v>
      </c>
      <c r="Q70" s="184">
        <v>0</v>
      </c>
      <c r="R70" s="184">
        <v>0</v>
      </c>
      <c r="S70" s="184">
        <v>0</v>
      </c>
      <c r="T70" s="184">
        <v>0</v>
      </c>
      <c r="V70" s="183" t="s">
        <v>115</v>
      </c>
      <c r="W70" s="660"/>
      <c r="X70" s="660">
        <f>+[33]EEFF_Vías_Chi!Y70</f>
        <v>0</v>
      </c>
    </row>
    <row r="71" spans="2:24" ht="15">
      <c r="B71" s="199" t="s">
        <v>88</v>
      </c>
      <c r="C71" s="186">
        <f t="shared" ref="C71:N71" si="4">SUM(C63:C70)</f>
        <v>69116</v>
      </c>
      <c r="D71" s="186">
        <f t="shared" si="4"/>
        <v>55462</v>
      </c>
      <c r="E71" s="186">
        <f t="shared" si="4"/>
        <v>62184</v>
      </c>
      <c r="F71" s="186">
        <f t="shared" si="4"/>
        <v>60313</v>
      </c>
      <c r="G71" s="186">
        <f t="shared" si="4"/>
        <v>69609</v>
      </c>
      <c r="H71" s="186">
        <f t="shared" si="4"/>
        <v>79803</v>
      </c>
      <c r="I71" s="186">
        <f t="shared" si="4"/>
        <v>83658</v>
      </c>
      <c r="J71" s="186">
        <f t="shared" si="4"/>
        <v>61259</v>
      </c>
      <c r="K71" s="186">
        <f t="shared" si="4"/>
        <v>80185</v>
      </c>
      <c r="L71" s="186">
        <f t="shared" si="4"/>
        <v>73740</v>
      </c>
      <c r="M71" s="186">
        <f t="shared" si="4"/>
        <v>89816</v>
      </c>
      <c r="N71" s="186">
        <f t="shared" si="4"/>
        <v>79289</v>
      </c>
      <c r="O71" s="186">
        <v>88766</v>
      </c>
      <c r="P71" s="186">
        <f>SUM(P63:P70)</f>
        <v>88151.671457999997</v>
      </c>
      <c r="Q71" s="186">
        <f>SUM(Q63:Q70)</f>
        <v>91252.577533999996</v>
      </c>
      <c r="R71" s="186">
        <v>82435.317865999998</v>
      </c>
      <c r="S71" s="186">
        <v>95062.459031999999</v>
      </c>
      <c r="T71" s="186">
        <v>77662.008927000017</v>
      </c>
      <c r="V71" s="181" t="s">
        <v>88</v>
      </c>
      <c r="W71" s="661">
        <v>88822.516585000005</v>
      </c>
      <c r="X71" s="661">
        <f>+[33]EEFF_Vías_Chi!Y71</f>
        <v>133108.20465699999</v>
      </c>
    </row>
    <row r="72" spans="2:24" ht="15">
      <c r="B72" s="205" t="s">
        <v>89</v>
      </c>
      <c r="C72" s="206"/>
      <c r="D72" s="206"/>
      <c r="E72" s="206"/>
      <c r="F72" s="206"/>
      <c r="G72" s="206"/>
      <c r="H72" s="206"/>
      <c r="I72" s="206"/>
      <c r="J72" s="206"/>
      <c r="K72" s="206"/>
      <c r="L72" s="206"/>
      <c r="M72" s="206"/>
      <c r="N72" s="206"/>
      <c r="O72" s="206"/>
      <c r="P72" s="192"/>
      <c r="Q72" s="192"/>
      <c r="R72" s="192"/>
      <c r="S72" s="192"/>
      <c r="T72" s="192"/>
      <c r="V72" s="191" t="s">
        <v>89</v>
      </c>
      <c r="W72" s="662"/>
      <c r="X72" s="662">
        <f>+[33]EEFF_Vías_Chi!Y72</f>
        <v>0</v>
      </c>
    </row>
    <row r="73" spans="2:24" s="42" customFormat="1" ht="15.5">
      <c r="B73" s="201" t="s">
        <v>81</v>
      </c>
      <c r="C73" s="184">
        <v>496863</v>
      </c>
      <c r="D73" s="184">
        <v>493406</v>
      </c>
      <c r="E73" s="184">
        <v>497438</v>
      </c>
      <c r="F73" s="184">
        <v>487255</v>
      </c>
      <c r="G73" s="184">
        <v>495094</v>
      </c>
      <c r="H73" s="184">
        <v>619671</v>
      </c>
      <c r="I73" s="184">
        <v>474172</v>
      </c>
      <c r="J73" s="184">
        <v>626883</v>
      </c>
      <c r="K73" s="184">
        <v>627450</v>
      </c>
      <c r="L73" s="184">
        <v>765038</v>
      </c>
      <c r="M73" s="184">
        <v>608941</v>
      </c>
      <c r="N73" s="184">
        <v>605645</v>
      </c>
      <c r="O73" s="184">
        <v>610885</v>
      </c>
      <c r="P73" s="184">
        <v>605149.71300999995</v>
      </c>
      <c r="Q73" s="184">
        <v>611367.66704900004</v>
      </c>
      <c r="R73" s="184">
        <v>611836.56228900002</v>
      </c>
      <c r="S73" s="184">
        <v>616334.07324499998</v>
      </c>
      <c r="T73" s="184">
        <v>619998.59155200003</v>
      </c>
      <c r="V73" s="183" t="s">
        <v>81</v>
      </c>
      <c r="W73" s="660">
        <v>810872.78162300005</v>
      </c>
      <c r="X73" s="660">
        <f>+[33]EEFF_Vías_Chi!Y73</f>
        <v>793060.90998999996</v>
      </c>
    </row>
    <row r="74" spans="2:24" s="42" customFormat="1" ht="15.5">
      <c r="B74" s="201" t="s">
        <v>82</v>
      </c>
      <c r="C74" s="184">
        <v>161074</v>
      </c>
      <c r="D74" s="184">
        <v>164349</v>
      </c>
      <c r="E74" s="184">
        <v>148174</v>
      </c>
      <c r="F74" s="184">
        <v>152929</v>
      </c>
      <c r="G74" s="184">
        <v>149009</v>
      </c>
      <c r="H74" s="184">
        <v>0</v>
      </c>
      <c r="I74" s="184">
        <v>149735</v>
      </c>
      <c r="J74" s="184">
        <v>157749</v>
      </c>
      <c r="K74" s="184">
        <v>149073</v>
      </c>
      <c r="L74" s="184">
        <v>903</v>
      </c>
      <c r="M74" s="184">
        <v>149509</v>
      </c>
      <c r="N74" s="184">
        <v>159598</v>
      </c>
      <c r="O74" s="184">
        <v>156384</v>
      </c>
      <c r="P74" s="184">
        <v>169595.62221900001</v>
      </c>
      <c r="Q74" s="184">
        <v>167875.36014899999</v>
      </c>
      <c r="R74" s="184">
        <v>173715.642448</v>
      </c>
      <c r="S74" s="184">
        <v>169075.533807</v>
      </c>
      <c r="T74" s="184">
        <v>178394.27674299999</v>
      </c>
      <c r="V74" s="183" t="s">
        <v>82</v>
      </c>
      <c r="W74" s="660">
        <v>166.016572</v>
      </c>
      <c r="X74" s="660">
        <f>+[33]EEFF_Vías_Chi!Y74</f>
        <v>122.22329000000001</v>
      </c>
    </row>
    <row r="75" spans="2:24" s="42" customFormat="1" ht="15.5">
      <c r="B75" s="201" t="s">
        <v>90</v>
      </c>
      <c r="C75" s="184">
        <v>0</v>
      </c>
      <c r="D75" s="184">
        <v>0</v>
      </c>
      <c r="E75" s="184">
        <v>0</v>
      </c>
      <c r="F75" s="184">
        <v>0</v>
      </c>
      <c r="G75" s="184">
        <v>0</v>
      </c>
      <c r="H75" s="184">
        <v>0</v>
      </c>
      <c r="I75" s="184">
        <v>0</v>
      </c>
      <c r="J75" s="184">
        <v>0</v>
      </c>
      <c r="K75" s="184">
        <v>0</v>
      </c>
      <c r="L75" s="184">
        <v>0</v>
      </c>
      <c r="M75" s="184">
        <v>0</v>
      </c>
      <c r="N75" s="184">
        <v>0</v>
      </c>
      <c r="O75" s="184">
        <v>0</v>
      </c>
      <c r="P75" s="184">
        <v>0</v>
      </c>
      <c r="Q75" s="184">
        <v>0</v>
      </c>
      <c r="R75" s="184">
        <v>0</v>
      </c>
      <c r="S75" s="184">
        <v>0</v>
      </c>
      <c r="T75" s="184">
        <v>0</v>
      </c>
      <c r="V75" s="183" t="s">
        <v>90</v>
      </c>
      <c r="W75" s="660">
        <v>0</v>
      </c>
      <c r="X75" s="660">
        <f>+[33]EEFF_Vías_Chi!Y75</f>
        <v>0</v>
      </c>
    </row>
    <row r="76" spans="2:24" s="42" customFormat="1" ht="15.5">
      <c r="B76" s="201" t="s">
        <v>84</v>
      </c>
      <c r="C76" s="184">
        <v>0</v>
      </c>
      <c r="D76" s="184">
        <v>0</v>
      </c>
      <c r="E76" s="184">
        <v>0</v>
      </c>
      <c r="F76" s="184">
        <v>0</v>
      </c>
      <c r="G76" s="184">
        <v>0</v>
      </c>
      <c r="H76" s="184">
        <v>0</v>
      </c>
      <c r="I76" s="184">
        <v>0</v>
      </c>
      <c r="J76" s="184">
        <v>0</v>
      </c>
      <c r="K76" s="184">
        <v>0</v>
      </c>
      <c r="L76" s="184">
        <v>0</v>
      </c>
      <c r="M76" s="184">
        <v>0</v>
      </c>
      <c r="N76" s="184">
        <v>0</v>
      </c>
      <c r="O76" s="184">
        <v>0</v>
      </c>
      <c r="P76" s="184">
        <v>0</v>
      </c>
      <c r="Q76" s="184">
        <v>0</v>
      </c>
      <c r="R76" s="184">
        <v>0</v>
      </c>
      <c r="S76" s="184">
        <v>0</v>
      </c>
      <c r="T76" s="184">
        <v>0</v>
      </c>
      <c r="V76" s="183" t="s">
        <v>84</v>
      </c>
      <c r="W76" s="660">
        <v>0</v>
      </c>
      <c r="X76" s="660">
        <f>+[33]EEFF_Vías_Chi!Y76</f>
        <v>0</v>
      </c>
    </row>
    <row r="77" spans="2:24" s="42" customFormat="1" ht="15.5">
      <c r="B77" s="201" t="s">
        <v>85</v>
      </c>
      <c r="C77" s="184">
        <v>0</v>
      </c>
      <c r="D77" s="184">
        <v>0</v>
      </c>
      <c r="E77" s="184">
        <v>0</v>
      </c>
      <c r="F77" s="184">
        <v>0</v>
      </c>
      <c r="G77" s="184">
        <v>0</v>
      </c>
      <c r="H77" s="184">
        <v>0</v>
      </c>
      <c r="I77" s="184">
        <v>0</v>
      </c>
      <c r="J77" s="184">
        <v>0</v>
      </c>
      <c r="K77" s="184">
        <v>0</v>
      </c>
      <c r="L77" s="184">
        <v>0</v>
      </c>
      <c r="M77" s="184">
        <v>0</v>
      </c>
      <c r="N77" s="184">
        <v>0</v>
      </c>
      <c r="O77" s="184">
        <v>0</v>
      </c>
      <c r="P77" s="184">
        <v>0</v>
      </c>
      <c r="Q77" s="184">
        <v>0</v>
      </c>
      <c r="R77" s="184">
        <v>0</v>
      </c>
      <c r="S77" s="184">
        <v>0</v>
      </c>
      <c r="T77" s="184">
        <v>0</v>
      </c>
      <c r="V77" s="183" t="s">
        <v>85</v>
      </c>
      <c r="W77" s="660">
        <v>0</v>
      </c>
      <c r="X77" s="660">
        <f>+[33]EEFF_Vías_Chi!Y77</f>
        <v>0</v>
      </c>
    </row>
    <row r="78" spans="2:24" s="42" customFormat="1" ht="15.5">
      <c r="B78" s="201" t="s">
        <v>86</v>
      </c>
      <c r="C78" s="184">
        <v>0</v>
      </c>
      <c r="D78" s="184">
        <v>0</v>
      </c>
      <c r="E78" s="184">
        <v>0</v>
      </c>
      <c r="F78" s="184">
        <v>0</v>
      </c>
      <c r="G78" s="184">
        <v>0</v>
      </c>
      <c r="H78" s="184">
        <v>0</v>
      </c>
      <c r="I78" s="184">
        <v>0</v>
      </c>
      <c r="J78" s="184">
        <v>0</v>
      </c>
      <c r="K78" s="184">
        <v>0</v>
      </c>
      <c r="L78" s="184">
        <v>0</v>
      </c>
      <c r="M78" s="184">
        <v>0</v>
      </c>
      <c r="N78" s="184">
        <v>0</v>
      </c>
      <c r="O78" s="184">
        <v>0</v>
      </c>
      <c r="P78" s="184">
        <v>0</v>
      </c>
      <c r="Q78" s="184">
        <v>0</v>
      </c>
      <c r="R78" s="184">
        <v>0</v>
      </c>
      <c r="S78" s="184">
        <v>0</v>
      </c>
      <c r="T78" s="184">
        <v>0</v>
      </c>
      <c r="V78" s="183" t="s">
        <v>86</v>
      </c>
      <c r="W78" s="660">
        <v>0</v>
      </c>
      <c r="X78" s="660">
        <f>+[33]EEFF_Vías_Chi!Y78</f>
        <v>0</v>
      </c>
    </row>
    <row r="79" spans="2:24" s="42" customFormat="1" ht="15.5">
      <c r="B79" s="201" t="s">
        <v>116</v>
      </c>
      <c r="C79" s="184">
        <v>72183</v>
      </c>
      <c r="D79" s="184">
        <v>84171</v>
      </c>
      <c r="E79" s="184">
        <v>86079</v>
      </c>
      <c r="F79" s="184">
        <v>87753</v>
      </c>
      <c r="G79" s="184">
        <v>89323</v>
      </c>
      <c r="H79" s="184">
        <v>89746</v>
      </c>
      <c r="I79" s="184">
        <v>93777</v>
      </c>
      <c r="J79" s="184">
        <v>94007</v>
      </c>
      <c r="K79" s="184">
        <v>98062</v>
      </c>
      <c r="L79" s="184">
        <v>100617</v>
      </c>
      <c r="M79" s="184">
        <v>102471</v>
      </c>
      <c r="N79" s="184">
        <v>104655</v>
      </c>
      <c r="O79" s="184">
        <v>109979</v>
      </c>
      <c r="P79" s="184">
        <v>109616.095346</v>
      </c>
      <c r="Q79" s="184">
        <v>111117.06804699999</v>
      </c>
      <c r="R79" s="184">
        <v>113124.88226499999</v>
      </c>
      <c r="S79" s="184">
        <v>115640.40788100001</v>
      </c>
      <c r="T79" s="184">
        <v>110045.521048</v>
      </c>
      <c r="V79" s="183" t="s">
        <v>116</v>
      </c>
      <c r="W79" s="660">
        <v>110900.750611</v>
      </c>
      <c r="X79" s="660">
        <f>+[33]EEFF_Vías_Chi!Y79</f>
        <v>98245.723693000007</v>
      </c>
    </row>
    <row r="80" spans="2:24" ht="15">
      <c r="B80" s="199" t="s">
        <v>91</v>
      </c>
      <c r="C80" s="186">
        <f t="shared" ref="C80:N80" si="5">SUM(C73:C79)</f>
        <v>730120</v>
      </c>
      <c r="D80" s="186">
        <f t="shared" si="5"/>
        <v>741926</v>
      </c>
      <c r="E80" s="186">
        <f t="shared" si="5"/>
        <v>731691</v>
      </c>
      <c r="F80" s="186">
        <f t="shared" si="5"/>
        <v>727937</v>
      </c>
      <c r="G80" s="186">
        <f t="shared" si="5"/>
        <v>733426</v>
      </c>
      <c r="H80" s="186">
        <f t="shared" si="5"/>
        <v>709417</v>
      </c>
      <c r="I80" s="186">
        <f t="shared" si="5"/>
        <v>717684</v>
      </c>
      <c r="J80" s="186">
        <f t="shared" si="5"/>
        <v>878639</v>
      </c>
      <c r="K80" s="186">
        <f t="shared" si="5"/>
        <v>874585</v>
      </c>
      <c r="L80" s="186">
        <f t="shared" si="5"/>
        <v>866558</v>
      </c>
      <c r="M80" s="186">
        <f t="shared" si="5"/>
        <v>860921</v>
      </c>
      <c r="N80" s="186">
        <f t="shared" si="5"/>
        <v>869898</v>
      </c>
      <c r="O80" s="186">
        <v>877248</v>
      </c>
      <c r="P80" s="186">
        <f>SUM(P73:P79)</f>
        <v>884361.43057500001</v>
      </c>
      <c r="Q80" s="186">
        <f>SUM(Q73:Q79)</f>
        <v>890360.09524499997</v>
      </c>
      <c r="R80" s="186">
        <v>898677.08700200007</v>
      </c>
      <c r="S80" s="186">
        <v>901050.01493299997</v>
      </c>
      <c r="T80" s="186">
        <v>908438.38934300002</v>
      </c>
      <c r="V80" s="181" t="s">
        <v>91</v>
      </c>
      <c r="W80" s="661">
        <v>921939.54880600004</v>
      </c>
      <c r="X80" s="661">
        <f>+[33]EEFF_Vías_Chi!Y80</f>
        <v>891428.85697299999</v>
      </c>
    </row>
    <row r="81" spans="2:24" ht="15">
      <c r="B81" s="198" t="s">
        <v>92</v>
      </c>
      <c r="C81" s="185">
        <f t="shared" ref="C81:N81" si="6">+C71+C80</f>
        <v>799236</v>
      </c>
      <c r="D81" s="185">
        <f t="shared" si="6"/>
        <v>797388</v>
      </c>
      <c r="E81" s="185">
        <f t="shared" si="6"/>
        <v>793875</v>
      </c>
      <c r="F81" s="185">
        <f t="shared" si="6"/>
        <v>788250</v>
      </c>
      <c r="G81" s="185">
        <f t="shared" si="6"/>
        <v>803035</v>
      </c>
      <c r="H81" s="185">
        <f t="shared" si="6"/>
        <v>789220</v>
      </c>
      <c r="I81" s="185">
        <f t="shared" si="6"/>
        <v>801342</v>
      </c>
      <c r="J81" s="185">
        <f t="shared" si="6"/>
        <v>939898</v>
      </c>
      <c r="K81" s="185">
        <f t="shared" si="6"/>
        <v>954770</v>
      </c>
      <c r="L81" s="185">
        <f t="shared" si="6"/>
        <v>940298</v>
      </c>
      <c r="M81" s="185">
        <f t="shared" si="6"/>
        <v>950737</v>
      </c>
      <c r="N81" s="185">
        <f t="shared" si="6"/>
        <v>949187</v>
      </c>
      <c r="O81" s="185">
        <v>966014</v>
      </c>
      <c r="P81" s="185">
        <f>+P80+P71</f>
        <v>972513.10203299997</v>
      </c>
      <c r="Q81" s="185">
        <f>+Q80+Q71</f>
        <v>981612.67277900001</v>
      </c>
      <c r="R81" s="185">
        <v>981112.40486800007</v>
      </c>
      <c r="S81" s="185">
        <v>996112.47396500001</v>
      </c>
      <c r="T81" s="185">
        <v>986100.39827000001</v>
      </c>
      <c r="V81" s="132" t="s">
        <v>92</v>
      </c>
      <c r="W81" s="659">
        <v>1010762.065391</v>
      </c>
      <c r="X81" s="659">
        <f>+[33]EEFF_Vías_Chi!Y81</f>
        <v>1024537.06163</v>
      </c>
    </row>
    <row r="82" spans="2:24" ht="15">
      <c r="B82" s="202"/>
      <c r="C82" s="203"/>
      <c r="D82" s="203"/>
      <c r="E82" s="203"/>
      <c r="F82" s="203"/>
      <c r="G82" s="203"/>
      <c r="H82" s="203"/>
      <c r="I82" s="203"/>
      <c r="J82" s="203"/>
      <c r="K82" s="203"/>
      <c r="L82" s="203"/>
      <c r="M82" s="203"/>
      <c r="N82" s="203"/>
      <c r="O82" s="203"/>
      <c r="P82" s="187"/>
      <c r="Q82" s="187"/>
      <c r="R82" s="187"/>
      <c r="S82" s="187">
        <v>0</v>
      </c>
      <c r="T82" s="187"/>
      <c r="V82" s="134"/>
      <c r="W82" s="663"/>
      <c r="X82" s="663">
        <f>+[33]EEFF_Vías_Chi!Y82</f>
        <v>0</v>
      </c>
    </row>
    <row r="83" spans="2:24" ht="15">
      <c r="B83" s="205" t="s">
        <v>93</v>
      </c>
      <c r="C83" s="206"/>
      <c r="D83" s="206"/>
      <c r="E83" s="206"/>
      <c r="F83" s="206"/>
      <c r="G83" s="206"/>
      <c r="H83" s="206"/>
      <c r="I83" s="206"/>
      <c r="J83" s="206"/>
      <c r="K83" s="206"/>
      <c r="L83" s="206"/>
      <c r="M83" s="206"/>
      <c r="N83" s="206"/>
      <c r="O83" s="206"/>
      <c r="P83" s="192"/>
      <c r="Q83" s="192"/>
      <c r="R83" s="192"/>
      <c r="S83" s="192"/>
      <c r="T83" s="192"/>
      <c r="V83" s="191" t="s">
        <v>93</v>
      </c>
      <c r="W83" s="662"/>
      <c r="X83" s="662"/>
    </row>
    <row r="84" spans="2:24" s="42" customFormat="1" ht="15.5">
      <c r="B84" s="201" t="s">
        <v>94</v>
      </c>
      <c r="C84" s="184">
        <v>85214</v>
      </c>
      <c r="D84" s="184">
        <v>85214</v>
      </c>
      <c r="E84" s="184">
        <v>85214</v>
      </c>
      <c r="F84" s="184">
        <v>85214</v>
      </c>
      <c r="G84" s="184">
        <v>85214</v>
      </c>
      <c r="H84" s="184">
        <v>85214</v>
      </c>
      <c r="I84" s="184">
        <v>85214</v>
      </c>
      <c r="J84" s="184">
        <v>85214</v>
      </c>
      <c r="K84" s="184">
        <v>85214</v>
      </c>
      <c r="L84" s="184">
        <v>85214</v>
      </c>
      <c r="M84" s="184">
        <v>85214</v>
      </c>
      <c r="N84" s="184">
        <v>85214</v>
      </c>
      <c r="O84" s="184">
        <v>85214</v>
      </c>
      <c r="P84" s="184">
        <v>85214.499991000004</v>
      </c>
      <c r="Q84" s="184">
        <v>85214.499991000004</v>
      </c>
      <c r="R84" s="184">
        <v>85214.499991000004</v>
      </c>
      <c r="S84" s="184">
        <v>85214.499991000004</v>
      </c>
      <c r="T84" s="184">
        <v>85214.499991000004</v>
      </c>
      <c r="V84" s="183" t="s">
        <v>94</v>
      </c>
      <c r="W84" s="660">
        <v>85214.499991000004</v>
      </c>
      <c r="X84" s="660">
        <f>+[33]EEFF_Vías_Chi!Y84</f>
        <v>85214.499991000004</v>
      </c>
    </row>
    <row r="85" spans="2:24" s="42" customFormat="1" ht="15.5">
      <c r="B85" s="201" t="s">
        <v>95</v>
      </c>
      <c r="C85" s="184">
        <v>0</v>
      </c>
      <c r="D85" s="184">
        <v>0</v>
      </c>
      <c r="E85" s="184">
        <v>0</v>
      </c>
      <c r="F85" s="184">
        <v>0</v>
      </c>
      <c r="G85" s="184">
        <v>0</v>
      </c>
      <c r="H85" s="184">
        <v>0</v>
      </c>
      <c r="I85" s="184">
        <v>0</v>
      </c>
      <c r="J85" s="184">
        <v>0</v>
      </c>
      <c r="K85" s="184">
        <v>0</v>
      </c>
      <c r="L85" s="184">
        <v>0</v>
      </c>
      <c r="M85" s="184">
        <v>0</v>
      </c>
      <c r="N85" s="184">
        <v>0</v>
      </c>
      <c r="O85" s="184">
        <v>0</v>
      </c>
      <c r="P85" s="184">
        <v>0</v>
      </c>
      <c r="Q85" s="184">
        <v>0</v>
      </c>
      <c r="R85" s="184">
        <v>0</v>
      </c>
      <c r="S85" s="184">
        <v>0</v>
      </c>
      <c r="T85" s="184">
        <v>0</v>
      </c>
      <c r="V85" s="183" t="s">
        <v>95</v>
      </c>
      <c r="W85" s="660">
        <v>0</v>
      </c>
      <c r="X85" s="660">
        <f>+[33]EEFF_Vías_Chi!Y85</f>
        <v>0</v>
      </c>
    </row>
    <row r="86" spans="2:24" s="42" customFormat="1" ht="15.5">
      <c r="B86" s="201" t="s">
        <v>96</v>
      </c>
      <c r="C86" s="184">
        <v>0</v>
      </c>
      <c r="D86" s="184">
        <v>0</v>
      </c>
      <c r="E86" s="184">
        <v>0</v>
      </c>
      <c r="F86" s="184">
        <v>0</v>
      </c>
      <c r="G86" s="184">
        <v>0</v>
      </c>
      <c r="H86" s="184">
        <v>0</v>
      </c>
      <c r="I86" s="184">
        <v>0</v>
      </c>
      <c r="J86" s="184">
        <v>0</v>
      </c>
      <c r="K86" s="184">
        <v>0</v>
      </c>
      <c r="L86" s="184">
        <v>0</v>
      </c>
      <c r="M86" s="184">
        <v>0</v>
      </c>
      <c r="N86" s="184">
        <v>0</v>
      </c>
      <c r="O86" s="184">
        <v>0</v>
      </c>
      <c r="P86" s="184">
        <v>0</v>
      </c>
      <c r="Q86" s="184">
        <v>0</v>
      </c>
      <c r="R86" s="184">
        <v>0</v>
      </c>
      <c r="S86" s="184">
        <v>0</v>
      </c>
      <c r="T86" s="184">
        <v>0</v>
      </c>
      <c r="V86" s="183" t="s">
        <v>96</v>
      </c>
      <c r="W86" s="660">
        <v>0</v>
      </c>
      <c r="X86" s="660">
        <f>+[33]EEFF_Vías_Chi!Y86</f>
        <v>0</v>
      </c>
    </row>
    <row r="87" spans="2:24" s="42" customFormat="1" ht="15.5">
      <c r="B87" s="201" t="s">
        <v>97</v>
      </c>
      <c r="C87" s="184">
        <v>193927</v>
      </c>
      <c r="D87" s="184">
        <v>236233</v>
      </c>
      <c r="E87" s="184">
        <v>281327</v>
      </c>
      <c r="F87" s="184">
        <v>281327</v>
      </c>
      <c r="G87" s="184">
        <v>281327</v>
      </c>
      <c r="H87" s="184">
        <v>281225</v>
      </c>
      <c r="I87" s="184">
        <v>324193</v>
      </c>
      <c r="J87" s="184">
        <v>324193</v>
      </c>
      <c r="K87" s="184">
        <v>324193</v>
      </c>
      <c r="L87" s="184">
        <v>324193</v>
      </c>
      <c r="M87" s="184">
        <v>318693</v>
      </c>
      <c r="N87" s="184">
        <v>318693</v>
      </c>
      <c r="O87" s="184">
        <v>318693</v>
      </c>
      <c r="P87" s="184">
        <v>318693.229207</v>
      </c>
      <c r="Q87" s="184">
        <v>357704.89399499999</v>
      </c>
      <c r="R87" s="184">
        <v>357704.89399499999</v>
      </c>
      <c r="S87" s="184">
        <v>357704.89399499999</v>
      </c>
      <c r="T87" s="184">
        <v>302116.86199499998</v>
      </c>
      <c r="V87" s="183" t="s">
        <v>97</v>
      </c>
      <c r="W87" s="660">
        <v>345594.87307600002</v>
      </c>
      <c r="X87" s="660">
        <f>+[33]EEFF_Vías_Chi!Y87</f>
        <v>345594.87307600002</v>
      </c>
    </row>
    <row r="88" spans="2:24" s="42" customFormat="1" ht="15.5">
      <c r="B88" s="201" t="s">
        <v>98</v>
      </c>
      <c r="C88" s="184">
        <v>42306</v>
      </c>
      <c r="D88" s="184">
        <v>45093</v>
      </c>
      <c r="E88" s="184">
        <v>9565</v>
      </c>
      <c r="F88" s="184">
        <v>19422</v>
      </c>
      <c r="G88" s="184">
        <v>26900</v>
      </c>
      <c r="H88" s="184">
        <v>42969</v>
      </c>
      <c r="I88" s="184">
        <v>10807</v>
      </c>
      <c r="J88" s="184">
        <v>19876</v>
      </c>
      <c r="K88" s="184">
        <v>33777</v>
      </c>
      <c r="L88" s="184">
        <v>45514</v>
      </c>
      <c r="M88" s="184">
        <v>10774</v>
      </c>
      <c r="N88" s="184">
        <v>18189</v>
      </c>
      <c r="O88" s="184">
        <v>33112</v>
      </c>
      <c r="P88" s="184">
        <v>39011.664788000002</v>
      </c>
      <c r="Q88" s="184">
        <v>11526.165836</v>
      </c>
      <c r="R88" s="184">
        <v>23572.413223</v>
      </c>
      <c r="S88" s="184">
        <v>33497.750252999991</v>
      </c>
      <c r="T88" s="184">
        <v>43478.011079999997</v>
      </c>
      <c r="V88" s="183" t="s">
        <v>98</v>
      </c>
      <c r="W88" s="660">
        <v>3398.020638</v>
      </c>
      <c r="X88" s="660">
        <f>+[33]EEFF_Vías_Chi!Y88</f>
        <v>9911.820232</v>
      </c>
    </row>
    <row r="89" spans="2:24" s="42" customFormat="1" ht="15.5">
      <c r="B89" s="201" t="s">
        <v>99</v>
      </c>
      <c r="C89" s="184">
        <v>4355</v>
      </c>
      <c r="D89" s="184">
        <v>2292</v>
      </c>
      <c r="E89" s="184">
        <v>1745</v>
      </c>
      <c r="F89" s="184">
        <v>1107</v>
      </c>
      <c r="G89" s="184">
        <v>1411</v>
      </c>
      <c r="H89" s="184">
        <v>2883</v>
      </c>
      <c r="I89" s="184">
        <v>2886</v>
      </c>
      <c r="J89" s="184">
        <v>2826</v>
      </c>
      <c r="K89" s="184">
        <v>2802</v>
      </c>
      <c r="L89" s="184">
        <v>3550</v>
      </c>
      <c r="M89" s="184">
        <v>4748</v>
      </c>
      <c r="N89" s="184">
        <v>5039</v>
      </c>
      <c r="O89" s="184">
        <v>4745</v>
      </c>
      <c r="P89" s="184">
        <v>4603.9519250000003</v>
      </c>
      <c r="Q89" s="184">
        <v>4518.948727</v>
      </c>
      <c r="R89" s="184">
        <v>4391.9058059999998</v>
      </c>
      <c r="S89" s="184">
        <v>4203.1314650000004</v>
      </c>
      <c r="T89" s="184">
        <v>3751.3774039999998</v>
      </c>
      <c r="V89" s="183" t="s">
        <v>99</v>
      </c>
      <c r="W89" s="660">
        <v>3381.538638</v>
      </c>
      <c r="X89" s="660">
        <f>+[33]EEFF_Vías_Chi!Y89</f>
        <v>1.9665140000000001</v>
      </c>
    </row>
    <row r="90" spans="2:24" ht="15">
      <c r="B90" s="199" t="s">
        <v>102</v>
      </c>
      <c r="C90" s="186">
        <f t="shared" ref="C90:N90" si="7">SUM(C84:C89)</f>
        <v>325802</v>
      </c>
      <c r="D90" s="186">
        <f t="shared" si="7"/>
        <v>368832</v>
      </c>
      <c r="E90" s="186">
        <f t="shared" si="7"/>
        <v>377851</v>
      </c>
      <c r="F90" s="186">
        <f t="shared" si="7"/>
        <v>387070</v>
      </c>
      <c r="G90" s="186">
        <f t="shared" si="7"/>
        <v>394852</v>
      </c>
      <c r="H90" s="186">
        <f t="shared" si="7"/>
        <v>412291</v>
      </c>
      <c r="I90" s="186">
        <f t="shared" si="7"/>
        <v>423100</v>
      </c>
      <c r="J90" s="186">
        <f t="shared" si="7"/>
        <v>432109</v>
      </c>
      <c r="K90" s="186">
        <f t="shared" si="7"/>
        <v>445986</v>
      </c>
      <c r="L90" s="186">
        <f t="shared" si="7"/>
        <v>458471</v>
      </c>
      <c r="M90" s="186">
        <f t="shared" si="7"/>
        <v>419429</v>
      </c>
      <c r="N90" s="186">
        <f t="shared" si="7"/>
        <v>427135</v>
      </c>
      <c r="O90" s="186">
        <v>441764</v>
      </c>
      <c r="P90" s="186">
        <f>SUM(P84:P89)</f>
        <v>447523.34591099998</v>
      </c>
      <c r="Q90" s="186">
        <f>SUM(Q84:Q89)</f>
        <v>458964.50854899996</v>
      </c>
      <c r="R90" s="186">
        <v>470883.71301499999</v>
      </c>
      <c r="S90" s="186">
        <v>480620.27570399997</v>
      </c>
      <c r="T90" s="186">
        <v>434560.75046999997</v>
      </c>
      <c r="V90" s="181" t="s">
        <v>102</v>
      </c>
      <c r="W90" s="661">
        <v>437588.93234300002</v>
      </c>
      <c r="X90" s="661">
        <f>+[33]EEFF_Vías_Chi!Y90</f>
        <v>440723.15981300006</v>
      </c>
    </row>
    <row r="91" spans="2:24" ht="15">
      <c r="B91" s="198" t="s">
        <v>103</v>
      </c>
      <c r="C91" s="185">
        <f t="shared" ref="C91:N91" si="8">+C81+C90</f>
        <v>1125038</v>
      </c>
      <c r="D91" s="185">
        <f t="shared" si="8"/>
        <v>1166220</v>
      </c>
      <c r="E91" s="185">
        <f t="shared" si="8"/>
        <v>1171726</v>
      </c>
      <c r="F91" s="185">
        <f t="shared" si="8"/>
        <v>1175320</v>
      </c>
      <c r="G91" s="185">
        <f t="shared" si="8"/>
        <v>1197887</v>
      </c>
      <c r="H91" s="185">
        <f t="shared" si="8"/>
        <v>1201511</v>
      </c>
      <c r="I91" s="185">
        <f t="shared" si="8"/>
        <v>1224442</v>
      </c>
      <c r="J91" s="185">
        <f t="shared" si="8"/>
        <v>1372007</v>
      </c>
      <c r="K91" s="185">
        <f t="shared" si="8"/>
        <v>1400756</v>
      </c>
      <c r="L91" s="185">
        <f t="shared" si="8"/>
        <v>1398769</v>
      </c>
      <c r="M91" s="185">
        <f t="shared" si="8"/>
        <v>1370166</v>
      </c>
      <c r="N91" s="185">
        <f t="shared" si="8"/>
        <v>1376322</v>
      </c>
      <c r="O91" s="185">
        <v>1407778</v>
      </c>
      <c r="P91" s="185">
        <f>+P90+P81</f>
        <v>1420036.4479439999</v>
      </c>
      <c r="Q91" s="185">
        <f>+Q90+Q81</f>
        <v>1440577.181328</v>
      </c>
      <c r="R91" s="185">
        <v>1451996.1178830001</v>
      </c>
      <c r="S91" s="185">
        <v>1476732.749669</v>
      </c>
      <c r="T91" s="185">
        <v>1420661.1487400001</v>
      </c>
      <c r="V91" s="132" t="s">
        <v>103</v>
      </c>
      <c r="W91" s="659">
        <v>1448350.997734</v>
      </c>
      <c r="X91" s="659">
        <f>+[33]EEFF_Vías_Chi!Y91</f>
        <v>1465260.221443</v>
      </c>
    </row>
    <row r="92" spans="2:24" ht="15.5">
      <c r="B92" s="207"/>
      <c r="C92" s="208"/>
      <c r="D92" s="208"/>
      <c r="E92" s="208"/>
      <c r="F92" s="208"/>
      <c r="G92" s="208"/>
      <c r="H92" s="207"/>
      <c r="I92" s="207"/>
      <c r="J92" s="207"/>
      <c r="K92" s="207"/>
      <c r="L92" s="207"/>
      <c r="M92" s="208"/>
      <c r="N92" s="208"/>
      <c r="O92" s="208"/>
      <c r="P92" s="568"/>
      <c r="Q92" s="568"/>
      <c r="R92" s="568"/>
      <c r="S92" s="568"/>
      <c r="T92" s="568">
        <v>0</v>
      </c>
      <c r="V92" s="46"/>
      <c r="W92" s="664"/>
      <c r="X92" s="664"/>
    </row>
    <row r="93" spans="2:24" ht="15.5">
      <c r="B93" s="143"/>
      <c r="C93" s="143"/>
      <c r="D93" s="143"/>
      <c r="E93" s="143"/>
      <c r="F93" s="143"/>
      <c r="G93" s="143"/>
      <c r="H93" s="143"/>
      <c r="I93" s="143"/>
      <c r="J93" s="143"/>
      <c r="K93" s="143"/>
      <c r="L93" s="143"/>
      <c r="M93" s="143"/>
      <c r="N93" s="143"/>
      <c r="O93" s="143"/>
      <c r="P93" s="46"/>
      <c r="Q93" s="46"/>
      <c r="V93" s="46"/>
      <c r="W93" s="653"/>
      <c r="X93" s="653"/>
    </row>
    <row r="94" spans="2:24" ht="15.5">
      <c r="B94" s="62" t="s">
        <v>360</v>
      </c>
      <c r="C94" s="33"/>
      <c r="D94" s="33"/>
      <c r="E94" s="34"/>
      <c r="F94" s="33"/>
      <c r="G94" s="33"/>
      <c r="H94" s="33"/>
      <c r="I94" s="34"/>
      <c r="J94" s="33"/>
      <c r="K94" s="33"/>
      <c r="L94" s="33"/>
      <c r="M94" s="34"/>
      <c r="N94" s="33"/>
      <c r="O94" s="33"/>
      <c r="P94" s="46"/>
      <c r="Q94" s="46"/>
      <c r="V94" s="46"/>
      <c r="W94" s="653"/>
      <c r="X94" s="653"/>
    </row>
    <row r="95" spans="2:24" ht="15.5">
      <c r="B95" s="165" t="s">
        <v>356</v>
      </c>
      <c r="C95" s="143"/>
      <c r="D95" s="143"/>
      <c r="E95" s="143"/>
      <c r="F95" s="143"/>
      <c r="G95" s="143"/>
      <c r="H95" s="143"/>
      <c r="I95" s="143"/>
      <c r="J95" s="143"/>
      <c r="K95" s="143"/>
      <c r="L95" s="143"/>
      <c r="M95" s="143"/>
      <c r="N95" s="143"/>
      <c r="O95" s="143"/>
      <c r="P95" s="46"/>
      <c r="Q95" s="46"/>
      <c r="V95" s="46"/>
      <c r="W95" s="653"/>
      <c r="X95" s="653"/>
    </row>
    <row r="96" spans="2:24" ht="6" customHeight="1">
      <c r="B96" s="35"/>
      <c r="C96" s="35"/>
      <c r="D96" s="35"/>
      <c r="E96" s="35"/>
      <c r="F96" s="35"/>
      <c r="G96" s="35"/>
      <c r="H96" s="35"/>
      <c r="I96" s="35"/>
      <c r="J96" s="35"/>
      <c r="K96" s="35"/>
      <c r="L96" s="35"/>
      <c r="M96" s="35"/>
      <c r="N96" s="35"/>
      <c r="O96" s="35"/>
      <c r="P96" s="46"/>
      <c r="Q96" s="46"/>
      <c r="V96" s="46"/>
      <c r="W96" s="653"/>
      <c r="X96" s="653"/>
    </row>
    <row r="97" spans="2:24" ht="15">
      <c r="B97" s="148"/>
      <c r="C97" s="149">
        <v>2016</v>
      </c>
      <c r="D97" s="149">
        <v>2017</v>
      </c>
      <c r="E97" s="149" t="s">
        <v>19</v>
      </c>
      <c r="F97" s="149" t="s">
        <v>20</v>
      </c>
      <c r="G97" s="149" t="s">
        <v>21</v>
      </c>
      <c r="H97" s="149" t="s">
        <v>22</v>
      </c>
      <c r="I97" s="149" t="s">
        <v>23</v>
      </c>
      <c r="J97" s="149" t="s">
        <v>24</v>
      </c>
      <c r="K97" s="149" t="s">
        <v>25</v>
      </c>
      <c r="L97" s="149" t="s">
        <v>26</v>
      </c>
      <c r="M97" s="149" t="s">
        <v>27</v>
      </c>
      <c r="N97" s="149" t="s">
        <v>28</v>
      </c>
      <c r="O97" s="149" t="s">
        <v>29</v>
      </c>
      <c r="P97" s="340" t="s">
        <v>722</v>
      </c>
      <c r="Q97" s="340" t="s">
        <v>739</v>
      </c>
      <c r="R97" s="340" t="s">
        <v>912</v>
      </c>
      <c r="S97" s="340" t="s">
        <v>1051</v>
      </c>
      <c r="T97" s="340" t="s">
        <v>1089</v>
      </c>
      <c r="V97" s="282"/>
      <c r="W97" s="654" t="s">
        <v>1109</v>
      </c>
      <c r="X97" s="654" t="s">
        <v>1190</v>
      </c>
    </row>
    <row r="98" spans="2:24" ht="7" customHeight="1">
      <c r="B98" s="150"/>
      <c r="C98" s="35"/>
      <c r="D98" s="35"/>
      <c r="E98" s="35"/>
      <c r="F98" s="35"/>
      <c r="G98" s="35"/>
      <c r="H98" s="35"/>
      <c r="I98" s="35"/>
      <c r="J98" s="35"/>
      <c r="K98" s="35"/>
      <c r="L98" s="35"/>
      <c r="M98" s="35"/>
      <c r="N98" s="35"/>
      <c r="O98" s="35"/>
      <c r="P98" s="46"/>
      <c r="Q98" s="46"/>
      <c r="V98" s="46"/>
      <c r="W98" s="653"/>
      <c r="X98" s="653"/>
    </row>
    <row r="99" spans="2:24" ht="15.5">
      <c r="B99" s="83" t="s">
        <v>30</v>
      </c>
      <c r="C99" s="118">
        <v>3404</v>
      </c>
      <c r="D99" s="118">
        <v>1850</v>
      </c>
      <c r="E99" s="118">
        <v>582</v>
      </c>
      <c r="F99" s="118">
        <v>152</v>
      </c>
      <c r="G99" s="118">
        <v>669</v>
      </c>
      <c r="H99" s="118">
        <v>394</v>
      </c>
      <c r="I99" s="118">
        <v>2114</v>
      </c>
      <c r="J99" s="118">
        <v>2166</v>
      </c>
      <c r="K99" s="118">
        <v>263</v>
      </c>
      <c r="L99" s="118">
        <v>2065</v>
      </c>
      <c r="M99" s="118">
        <v>-65</v>
      </c>
      <c r="N99" s="118">
        <v>151</v>
      </c>
      <c r="O99" s="118">
        <v>549</v>
      </c>
      <c r="P99" s="118">
        <v>3092.7752770000002</v>
      </c>
      <c r="Q99" s="118">
        <v>-1482.9165980999999</v>
      </c>
      <c r="R99" s="118">
        <v>2514.9165980999996</v>
      </c>
      <c r="S99" s="118">
        <v>1024</v>
      </c>
      <c r="T99" s="118">
        <v>2258.5704969999997</v>
      </c>
      <c r="V99" s="83" t="s">
        <v>30</v>
      </c>
      <c r="W99" s="118">
        <v>3575.812312</v>
      </c>
      <c r="X99" s="118">
        <f>+[33]EEFF_Vías_Chi!Y99</f>
        <v>10266.739632000001</v>
      </c>
    </row>
    <row r="100" spans="2:24" ht="15.5">
      <c r="B100" s="83" t="s">
        <v>31</v>
      </c>
      <c r="C100" s="118">
        <v>3013</v>
      </c>
      <c r="D100" s="118">
        <v>1637</v>
      </c>
      <c r="E100" s="118">
        <v>515</v>
      </c>
      <c r="F100" s="118">
        <v>135</v>
      </c>
      <c r="G100" s="118">
        <v>592</v>
      </c>
      <c r="H100" s="118">
        <v>349</v>
      </c>
      <c r="I100" s="118">
        <v>1870</v>
      </c>
      <c r="J100" s="118">
        <v>1918</v>
      </c>
      <c r="K100" s="118">
        <v>232</v>
      </c>
      <c r="L100" s="118">
        <v>1828</v>
      </c>
      <c r="M100" s="118">
        <v>-56</v>
      </c>
      <c r="N100" s="118">
        <v>131</v>
      </c>
      <c r="O100" s="118">
        <v>477</v>
      </c>
      <c r="P100" s="118">
        <v>2689.3698060000002</v>
      </c>
      <c r="Q100" s="118">
        <v>1289.492694</v>
      </c>
      <c r="R100" s="118">
        <v>-392.49269400000003</v>
      </c>
      <c r="S100" s="118">
        <v>891</v>
      </c>
      <c r="T100" s="118">
        <v>1963.800432</v>
      </c>
      <c r="V100" s="83" t="s">
        <v>31</v>
      </c>
      <c r="W100" s="118">
        <v>3109.4020110000001</v>
      </c>
      <c r="X100" s="118">
        <f>+[33]EEFF_Vías_Chi!Y100</f>
        <v>2186.7353579999999</v>
      </c>
    </row>
    <row r="101" spans="2:24" ht="15.5">
      <c r="B101" s="142" t="s">
        <v>32</v>
      </c>
      <c r="C101" s="151">
        <v>391</v>
      </c>
      <c r="D101" s="151">
        <v>213</v>
      </c>
      <c r="E101" s="151">
        <v>67</v>
      </c>
      <c r="F101" s="151">
        <v>17</v>
      </c>
      <c r="G101" s="151">
        <v>77</v>
      </c>
      <c r="H101" s="151">
        <v>45</v>
      </c>
      <c r="I101" s="151">
        <v>244</v>
      </c>
      <c r="J101" s="151">
        <v>248</v>
      </c>
      <c r="K101" s="151">
        <v>31</v>
      </c>
      <c r="L101" s="151">
        <v>237</v>
      </c>
      <c r="M101" s="151">
        <v>-9</v>
      </c>
      <c r="N101" s="151">
        <v>20</v>
      </c>
      <c r="O101" s="151">
        <v>72</v>
      </c>
      <c r="P101" s="151">
        <v>403.40547100000003</v>
      </c>
      <c r="Q101" s="151">
        <f>+Q99+Q100</f>
        <v>-193.42390409999985</v>
      </c>
      <c r="R101" s="151">
        <v>2122.4239040999996</v>
      </c>
      <c r="S101" s="151">
        <v>133</v>
      </c>
      <c r="T101" s="151">
        <v>294.7700649999997</v>
      </c>
      <c r="V101" s="142" t="s">
        <v>1129</v>
      </c>
      <c r="W101" s="151">
        <v>466.41030099999989</v>
      </c>
      <c r="X101" s="151">
        <f>+[33]EEFF_Vías_Chi!Y101</f>
        <v>8080.0042740000008</v>
      </c>
    </row>
    <row r="102" spans="2:24" ht="15.5">
      <c r="B102" s="83"/>
      <c r="C102" s="118"/>
      <c r="D102" s="118"/>
      <c r="E102" s="118"/>
      <c r="F102" s="118"/>
      <c r="G102" s="118"/>
      <c r="H102" s="118"/>
      <c r="I102" s="118"/>
      <c r="J102" s="118"/>
      <c r="K102" s="118"/>
      <c r="L102" s="118"/>
      <c r="M102" s="118"/>
      <c r="N102" s="118"/>
      <c r="O102" s="118"/>
      <c r="P102" s="118"/>
      <c r="Q102" s="118"/>
      <c r="R102" s="118"/>
      <c r="S102" s="118">
        <v>0</v>
      </c>
      <c r="T102" s="118">
        <v>0</v>
      </c>
      <c r="V102" s="46"/>
      <c r="W102" s="118"/>
      <c r="X102" s="118">
        <f>+[33]EEFF_Vías_Chi!Y102</f>
        <v>0</v>
      </c>
    </row>
    <row r="103" spans="2:24" ht="15.5">
      <c r="B103" s="83" t="s">
        <v>357</v>
      </c>
      <c r="C103" s="118">
        <v>9856</v>
      </c>
      <c r="D103" s="118">
        <v>10456</v>
      </c>
      <c r="E103" s="118">
        <v>3151</v>
      </c>
      <c r="F103" s="118">
        <v>2372</v>
      </c>
      <c r="G103" s="118">
        <v>1962</v>
      </c>
      <c r="H103" s="118">
        <v>2944</v>
      </c>
      <c r="I103" s="118">
        <v>3391</v>
      </c>
      <c r="J103" s="118">
        <v>3214</v>
      </c>
      <c r="K103" s="118">
        <v>2034</v>
      </c>
      <c r="L103" s="118">
        <v>2200</v>
      </c>
      <c r="M103" s="118">
        <v>3403</v>
      </c>
      <c r="N103" s="118">
        <v>3646</v>
      </c>
      <c r="O103" s="118">
        <v>2234</v>
      </c>
      <c r="P103" s="118">
        <v>2771.4469170000002</v>
      </c>
      <c r="Q103" s="118">
        <v>3631.6147111</v>
      </c>
      <c r="R103" s="118">
        <v>3607.3852889</v>
      </c>
      <c r="S103" s="118">
        <v>3039</v>
      </c>
      <c r="T103" s="118">
        <v>3764.1872879999992</v>
      </c>
      <c r="V103" s="83" t="s">
        <v>357</v>
      </c>
      <c r="W103" s="118">
        <v>2988.0338710000001</v>
      </c>
      <c r="X103" s="118">
        <f>+[33]EEFF_Vías_Chi!Y103</f>
        <v>5280.2685679999995</v>
      </c>
    </row>
    <row r="104" spans="2:24" ht="15.5">
      <c r="B104" s="83" t="s">
        <v>358</v>
      </c>
      <c r="C104" s="118">
        <v>19971</v>
      </c>
      <c r="D104" s="118">
        <v>18953</v>
      </c>
      <c r="E104" s="118">
        <v>4356</v>
      </c>
      <c r="F104" s="118">
        <v>3903</v>
      </c>
      <c r="G104" s="118">
        <v>3848</v>
      </c>
      <c r="H104" s="118">
        <v>3723</v>
      </c>
      <c r="I104" s="118">
        <v>3760</v>
      </c>
      <c r="J104" s="118">
        <v>3693</v>
      </c>
      <c r="K104" s="118">
        <v>3555</v>
      </c>
      <c r="L104" s="118">
        <v>3410</v>
      </c>
      <c r="M104" s="118">
        <v>3296</v>
      </c>
      <c r="N104" s="118">
        <v>2741</v>
      </c>
      <c r="O104" s="118">
        <v>2019</v>
      </c>
      <c r="P104" s="118">
        <v>2397.4204569999997</v>
      </c>
      <c r="Q104" s="118">
        <v>2281.2303179999999</v>
      </c>
      <c r="R104" s="118">
        <v>2761.7696820000001</v>
      </c>
      <c r="S104" s="118">
        <v>2819</v>
      </c>
      <c r="T104" s="118">
        <v>4438.8197839999993</v>
      </c>
      <c r="V104" s="83" t="s">
        <v>358</v>
      </c>
      <c r="W104" s="118">
        <v>2514.1301749999998</v>
      </c>
      <c r="X104" s="118">
        <f>+[33]EEFF_Vías_Chi!Y104</f>
        <v>2703.2060100000003</v>
      </c>
    </row>
    <row r="105" spans="2:24" ht="15.5">
      <c r="B105" s="83" t="s">
        <v>39</v>
      </c>
      <c r="C105" s="118">
        <v>0</v>
      </c>
      <c r="D105" s="118">
        <v>0</v>
      </c>
      <c r="E105" s="118">
        <v>0</v>
      </c>
      <c r="F105" s="118">
        <v>0</v>
      </c>
      <c r="G105" s="118">
        <v>0</v>
      </c>
      <c r="H105" s="118">
        <v>0</v>
      </c>
      <c r="I105" s="118">
        <v>0</v>
      </c>
      <c r="J105" s="118">
        <v>0</v>
      </c>
      <c r="K105" s="118">
        <v>0</v>
      </c>
      <c r="L105" s="118">
        <v>0</v>
      </c>
      <c r="M105" s="118">
        <v>0</v>
      </c>
      <c r="N105" s="118">
        <v>0</v>
      </c>
      <c r="O105" s="118">
        <v>0</v>
      </c>
      <c r="P105" s="118">
        <v>0</v>
      </c>
      <c r="Q105" s="118">
        <v>0</v>
      </c>
      <c r="R105" s="118">
        <v>0</v>
      </c>
      <c r="S105" s="118">
        <v>0</v>
      </c>
      <c r="T105" s="118">
        <v>0</v>
      </c>
      <c r="V105" s="83" t="s">
        <v>39</v>
      </c>
      <c r="W105" s="118">
        <v>0</v>
      </c>
      <c r="X105" s="118">
        <f>+[33]EEFF_Vías_Chi!Y105</f>
        <v>0</v>
      </c>
    </row>
    <row r="106" spans="2:24" ht="15.5">
      <c r="B106" s="83" t="s">
        <v>40</v>
      </c>
      <c r="C106" s="118">
        <v>9297</v>
      </c>
      <c r="D106" s="118">
        <v>9868</v>
      </c>
      <c r="E106" s="118">
        <v>2976</v>
      </c>
      <c r="F106" s="118">
        <v>2236</v>
      </c>
      <c r="G106" s="118">
        <v>1852</v>
      </c>
      <c r="H106" s="118">
        <v>2778</v>
      </c>
      <c r="I106" s="118">
        <v>3200</v>
      </c>
      <c r="J106" s="118">
        <v>3030</v>
      </c>
      <c r="K106" s="118">
        <v>1920</v>
      </c>
      <c r="L106" s="118">
        <v>2076</v>
      </c>
      <c r="M106" s="118">
        <v>3151</v>
      </c>
      <c r="N106" s="118">
        <v>3376</v>
      </c>
      <c r="O106" s="118">
        <v>2068</v>
      </c>
      <c r="P106" s="118">
        <v>2566.154552</v>
      </c>
      <c r="Q106" s="118">
        <v>3362.6062139999999</v>
      </c>
      <c r="R106" s="118">
        <v>5134.3937860000005</v>
      </c>
      <c r="S106" s="118">
        <v>1019</v>
      </c>
      <c r="T106" s="118">
        <v>3486.0252670000009</v>
      </c>
      <c r="V106" s="83" t="s">
        <v>40</v>
      </c>
      <c r="W106" s="118">
        <v>2766.6980279999998</v>
      </c>
      <c r="X106" s="118">
        <f>+[33]EEFF_Vías_Chi!Y106</f>
        <v>11525.837542000001</v>
      </c>
    </row>
    <row r="107" spans="2:24" ht="15.5">
      <c r="B107" s="142" t="s">
        <v>41</v>
      </c>
      <c r="C107" s="151">
        <v>20530</v>
      </c>
      <c r="D107" s="151">
        <v>19541</v>
      </c>
      <c r="E107" s="151">
        <v>4531</v>
      </c>
      <c r="F107" s="151">
        <v>4039</v>
      </c>
      <c r="G107" s="151">
        <v>3958</v>
      </c>
      <c r="H107" s="151">
        <v>3889</v>
      </c>
      <c r="I107" s="151">
        <v>3951</v>
      </c>
      <c r="J107" s="151">
        <v>3877</v>
      </c>
      <c r="K107" s="151">
        <v>3669</v>
      </c>
      <c r="L107" s="151">
        <v>3534</v>
      </c>
      <c r="M107" s="151">
        <v>3548</v>
      </c>
      <c r="N107" s="151">
        <v>3011</v>
      </c>
      <c r="O107" s="151">
        <v>2185</v>
      </c>
      <c r="P107" s="151">
        <v>2602.7128219999995</v>
      </c>
      <c r="Q107" s="151">
        <f>+Q103+Q104+Q105-Q106</f>
        <v>2550.2388151</v>
      </c>
      <c r="R107" s="151">
        <v>1234.7611848999995</v>
      </c>
      <c r="S107" s="151">
        <v>4839</v>
      </c>
      <c r="T107" s="151">
        <v>4716.9818049999976</v>
      </c>
      <c r="V107" s="83" t="s">
        <v>43</v>
      </c>
      <c r="W107" s="118">
        <v>31.159631999999998</v>
      </c>
      <c r="X107" s="118">
        <f>+[33]EEFF_Vías_Chi!Y107</f>
        <v>30.823282000000003</v>
      </c>
    </row>
    <row r="108" spans="2:24" ht="15.5">
      <c r="B108" s="85" t="s">
        <v>42</v>
      </c>
      <c r="C108" s="119">
        <v>20921</v>
      </c>
      <c r="D108" s="119">
        <v>19754</v>
      </c>
      <c r="E108" s="119">
        <v>4598</v>
      </c>
      <c r="F108" s="119">
        <v>4056</v>
      </c>
      <c r="G108" s="119">
        <v>4035</v>
      </c>
      <c r="H108" s="119">
        <v>3934</v>
      </c>
      <c r="I108" s="119">
        <v>4195</v>
      </c>
      <c r="J108" s="119">
        <v>4125</v>
      </c>
      <c r="K108" s="119">
        <v>3700</v>
      </c>
      <c r="L108" s="119">
        <v>3771</v>
      </c>
      <c r="M108" s="119">
        <v>3539</v>
      </c>
      <c r="N108" s="119">
        <v>3031</v>
      </c>
      <c r="O108" s="119">
        <v>2257</v>
      </c>
      <c r="P108" s="119">
        <v>3006.1182929999995</v>
      </c>
      <c r="Q108" s="119">
        <f>+Q101+Q107</f>
        <v>2356.8149110000004</v>
      </c>
      <c r="R108" s="119">
        <v>3357.1850889999992</v>
      </c>
      <c r="S108" s="119">
        <v>4972</v>
      </c>
      <c r="T108" s="119">
        <v>5011.7518699999973</v>
      </c>
      <c r="V108" s="85" t="s">
        <v>1130</v>
      </c>
      <c r="W108" s="119">
        <v>3170.7166870000001</v>
      </c>
      <c r="X108" s="119">
        <f>+[33]EEFF_Vías_Chi!Y108</f>
        <v>4506.8180279999988</v>
      </c>
    </row>
    <row r="109" spans="2:24" ht="15.5">
      <c r="B109" s="82"/>
      <c r="C109" s="9"/>
      <c r="D109" s="9"/>
      <c r="E109" s="9"/>
      <c r="F109" s="178"/>
      <c r="G109" s="9"/>
      <c r="H109" s="9"/>
      <c r="I109" s="9"/>
      <c r="J109" s="9"/>
      <c r="K109" s="9"/>
      <c r="L109" s="9"/>
      <c r="M109" s="9"/>
      <c r="N109" s="9"/>
      <c r="O109" s="9"/>
      <c r="P109" s="9"/>
      <c r="Q109" s="9"/>
      <c r="R109" s="9"/>
      <c r="S109" s="9"/>
      <c r="T109" s="9"/>
      <c r="V109" s="46"/>
      <c r="W109" s="9"/>
      <c r="X109" s="9">
        <f>+[33]EEFF_Vías_Chi!Y109</f>
        <v>0</v>
      </c>
    </row>
    <row r="110" spans="2:24" ht="15.5">
      <c r="B110" s="83" t="s">
        <v>43</v>
      </c>
      <c r="C110" s="118">
        <v>56</v>
      </c>
      <c r="D110" s="118">
        <v>72</v>
      </c>
      <c r="E110" s="118">
        <v>27</v>
      </c>
      <c r="F110" s="118">
        <v>15</v>
      </c>
      <c r="G110" s="118">
        <v>21</v>
      </c>
      <c r="H110" s="118">
        <v>21</v>
      </c>
      <c r="I110" s="118">
        <v>21</v>
      </c>
      <c r="J110" s="118">
        <v>30</v>
      </c>
      <c r="K110" s="118">
        <v>33</v>
      </c>
      <c r="L110" s="118">
        <v>33</v>
      </c>
      <c r="M110" s="118">
        <v>33</v>
      </c>
      <c r="N110" s="118">
        <v>35</v>
      </c>
      <c r="O110" s="118">
        <v>34</v>
      </c>
      <c r="P110" s="118">
        <v>35.991820000000004</v>
      </c>
      <c r="Q110" s="118">
        <v>33.367283</v>
      </c>
      <c r="R110" s="118">
        <v>33.632717</v>
      </c>
      <c r="S110" s="118">
        <v>30</v>
      </c>
      <c r="T110" s="118">
        <v>29.471971999999994</v>
      </c>
      <c r="V110" s="46"/>
      <c r="W110" s="118"/>
      <c r="X110" s="118">
        <f>+[33]EEFF_Vías_Chi!Y110</f>
        <v>0</v>
      </c>
    </row>
    <row r="111" spans="2:24" ht="15.5">
      <c r="B111" s="83" t="s">
        <v>44</v>
      </c>
      <c r="C111" s="118">
        <v>0</v>
      </c>
      <c r="D111" s="118">
        <v>0</v>
      </c>
      <c r="E111" s="118">
        <v>0</v>
      </c>
      <c r="F111" s="118">
        <v>0</v>
      </c>
      <c r="G111" s="118">
        <v>0</v>
      </c>
      <c r="H111" s="118">
        <v>0</v>
      </c>
      <c r="I111" s="118">
        <v>0</v>
      </c>
      <c r="J111" s="118">
        <v>0</v>
      </c>
      <c r="K111" s="118">
        <v>0</v>
      </c>
      <c r="L111" s="118">
        <v>0</v>
      </c>
      <c r="M111" s="118">
        <v>0</v>
      </c>
      <c r="N111" s="118">
        <v>0</v>
      </c>
      <c r="O111" s="118">
        <v>0</v>
      </c>
      <c r="P111" s="118"/>
      <c r="Q111" s="118"/>
      <c r="R111" s="118">
        <v>0</v>
      </c>
      <c r="S111" s="118">
        <v>0</v>
      </c>
      <c r="T111" s="118">
        <v>0</v>
      </c>
      <c r="V111" s="44" t="s">
        <v>44</v>
      </c>
      <c r="W111" s="118">
        <v>0</v>
      </c>
      <c r="X111" s="118">
        <f>+[33]EEFF_Vías_Chi!Y111</f>
        <v>0</v>
      </c>
    </row>
    <row r="112" spans="2:24" ht="15.5">
      <c r="B112" s="83" t="s">
        <v>45</v>
      </c>
      <c r="C112" s="118">
        <v>-229</v>
      </c>
      <c r="D112" s="118">
        <v>45</v>
      </c>
      <c r="E112" s="118">
        <v>0</v>
      </c>
      <c r="F112" s="118">
        <v>0</v>
      </c>
      <c r="G112" s="118">
        <v>1</v>
      </c>
      <c r="H112" s="118">
        <v>4</v>
      </c>
      <c r="I112" s="118">
        <v>13</v>
      </c>
      <c r="J112" s="118">
        <v>7</v>
      </c>
      <c r="K112" s="118">
        <v>3</v>
      </c>
      <c r="L112" s="118">
        <v>-1</v>
      </c>
      <c r="M112" s="118">
        <v>2</v>
      </c>
      <c r="N112" s="118">
        <v>-117</v>
      </c>
      <c r="O112" s="118">
        <v>97</v>
      </c>
      <c r="P112" s="118">
        <v>-11.393132000000005</v>
      </c>
      <c r="Q112" s="118">
        <v>5.1912770000000004</v>
      </c>
      <c r="R112" s="118">
        <v>-2.1912770000000004</v>
      </c>
      <c r="S112" s="118">
        <v>-3</v>
      </c>
      <c r="T112" s="118">
        <v>1.583027</v>
      </c>
      <c r="V112" s="44" t="s">
        <v>45</v>
      </c>
      <c r="W112" s="118">
        <v>-21.190287999999999</v>
      </c>
      <c r="X112" s="118">
        <f>+[33]EEFF_Vías_Chi!Y112</f>
        <v>5.0587449999999983</v>
      </c>
    </row>
    <row r="113" spans="2:24" ht="15.5">
      <c r="B113" s="85" t="s">
        <v>46</v>
      </c>
      <c r="C113" s="120">
        <v>20636</v>
      </c>
      <c r="D113" s="120">
        <v>19727</v>
      </c>
      <c r="E113" s="120">
        <v>4571</v>
      </c>
      <c r="F113" s="120">
        <v>4041</v>
      </c>
      <c r="G113" s="120">
        <v>4015</v>
      </c>
      <c r="H113" s="120">
        <v>3917</v>
      </c>
      <c r="I113" s="120">
        <v>4187</v>
      </c>
      <c r="J113" s="120">
        <v>4102</v>
      </c>
      <c r="K113" s="120">
        <v>3670</v>
      </c>
      <c r="L113" s="120">
        <v>3737</v>
      </c>
      <c r="M113" s="120">
        <v>3508</v>
      </c>
      <c r="N113" s="120">
        <v>2879</v>
      </c>
      <c r="O113" s="120">
        <v>2320</v>
      </c>
      <c r="P113" s="120">
        <v>2958.7333409999992</v>
      </c>
      <c r="Q113" s="120">
        <f>+Q108-Q110+Q112</f>
        <v>2328.6389050000002</v>
      </c>
      <c r="R113" s="120">
        <v>3321.3610949999993</v>
      </c>
      <c r="S113" s="120">
        <v>4939</v>
      </c>
      <c r="T113" s="120">
        <v>4983.8629249999967</v>
      </c>
      <c r="V113" s="253" t="s">
        <v>46</v>
      </c>
      <c r="W113" s="120">
        <v>3149.5263990000003</v>
      </c>
      <c r="X113" s="120">
        <f>+[33]EEFF_Vías_Chi!Y113</f>
        <v>4511.876772999999</v>
      </c>
    </row>
    <row r="114" spans="2:24" ht="15.5">
      <c r="B114" s="83"/>
      <c r="C114" s="118"/>
      <c r="D114" s="118"/>
      <c r="E114" s="118"/>
      <c r="F114" s="118"/>
      <c r="G114" s="118"/>
      <c r="H114" s="118"/>
      <c r="I114" s="118"/>
      <c r="J114" s="118"/>
      <c r="K114" s="118"/>
      <c r="L114" s="118"/>
      <c r="M114" s="118"/>
      <c r="N114" s="118"/>
      <c r="O114" s="118"/>
      <c r="P114" s="118"/>
      <c r="Q114" s="118"/>
      <c r="R114" s="118"/>
      <c r="S114" s="118">
        <v>0</v>
      </c>
      <c r="T114" s="118"/>
      <c r="V114" s="44"/>
      <c r="W114" s="118"/>
      <c r="X114" s="118">
        <f>+[33]EEFF_Vías_Chi!Y114</f>
        <v>0</v>
      </c>
    </row>
    <row r="115" spans="2:24" ht="15.5">
      <c r="B115" s="83" t="s">
        <v>47</v>
      </c>
      <c r="C115" s="118">
        <v>-13312</v>
      </c>
      <c r="D115" s="118">
        <v>-12664</v>
      </c>
      <c r="E115" s="118">
        <v>-2781</v>
      </c>
      <c r="F115" s="118">
        <v>-2679</v>
      </c>
      <c r="G115" s="118">
        <v>-2561</v>
      </c>
      <c r="H115" s="118">
        <v>-2311</v>
      </c>
      <c r="I115" s="118">
        <v>-2067</v>
      </c>
      <c r="J115" s="118">
        <v>-2087</v>
      </c>
      <c r="K115" s="118">
        <v>-1681</v>
      </c>
      <c r="L115" s="118">
        <v>-2031</v>
      </c>
      <c r="M115" s="118">
        <v>-2012</v>
      </c>
      <c r="N115" s="118">
        <v>-1682</v>
      </c>
      <c r="O115" s="118">
        <v>-1510</v>
      </c>
      <c r="P115" s="118">
        <v>-1881.9900979999993</v>
      </c>
      <c r="Q115" s="118">
        <f>749.064905-Q104</f>
        <v>-1532.1654129999999</v>
      </c>
      <c r="R115" s="118">
        <v>-1408.8345870000001</v>
      </c>
      <c r="S115" s="118">
        <v>-1631</v>
      </c>
      <c r="T115" s="118">
        <v>-2384.8872499999998</v>
      </c>
      <c r="V115" s="44" t="s">
        <v>47</v>
      </c>
      <c r="W115" s="118">
        <v>-1833.2984979999997</v>
      </c>
      <c r="X115" s="118">
        <f>+[33]EEFF_Vías_Chi!Y115</f>
        <v>-1651.3455200000003</v>
      </c>
    </row>
    <row r="116" spans="2:24" ht="15.5">
      <c r="B116" s="85" t="s">
        <v>48</v>
      </c>
      <c r="C116" s="120">
        <v>7324</v>
      </c>
      <c r="D116" s="120">
        <v>7063</v>
      </c>
      <c r="E116" s="120">
        <v>1790</v>
      </c>
      <c r="F116" s="120">
        <v>1362</v>
      </c>
      <c r="G116" s="120">
        <v>1454</v>
      </c>
      <c r="H116" s="120">
        <v>1606</v>
      </c>
      <c r="I116" s="120">
        <v>2120</v>
      </c>
      <c r="J116" s="120">
        <v>2015</v>
      </c>
      <c r="K116" s="120">
        <v>1989</v>
      </c>
      <c r="L116" s="120">
        <v>1706</v>
      </c>
      <c r="M116" s="120">
        <v>1496</v>
      </c>
      <c r="N116" s="120">
        <v>1197</v>
      </c>
      <c r="O116" s="120">
        <v>810</v>
      </c>
      <c r="P116" s="120">
        <v>1076.7432429999999</v>
      </c>
      <c r="Q116" s="120">
        <f>+Q113+Q115</f>
        <v>796.47349200000031</v>
      </c>
      <c r="R116" s="120">
        <v>1912.5265079999992</v>
      </c>
      <c r="S116" s="120">
        <v>3308</v>
      </c>
      <c r="T116" s="120">
        <v>2598.975674999997</v>
      </c>
      <c r="V116" s="253" t="s">
        <v>48</v>
      </c>
      <c r="W116" s="120">
        <v>1316.2279010000007</v>
      </c>
      <c r="X116" s="120">
        <f>+[33]EEFF_Vías_Chi!Y116</f>
        <v>2860.5312529999987</v>
      </c>
    </row>
    <row r="117" spans="2:24" ht="15.5">
      <c r="B117" s="82"/>
      <c r="C117" s="9"/>
      <c r="D117" s="9"/>
      <c r="E117" s="9"/>
      <c r="F117" s="9"/>
      <c r="G117" s="9"/>
      <c r="H117" s="9"/>
      <c r="I117" s="9"/>
      <c r="J117" s="9"/>
      <c r="K117" s="9"/>
      <c r="L117" s="9"/>
      <c r="M117" s="9"/>
      <c r="N117" s="9"/>
      <c r="O117" s="9"/>
      <c r="P117" s="9"/>
      <c r="Q117" s="9"/>
      <c r="R117" s="9"/>
      <c r="S117" s="9"/>
      <c r="T117" s="9"/>
      <c r="V117" s="404"/>
      <c r="W117" s="9"/>
      <c r="X117" s="9">
        <f>+[33]EEFF_Vías_Chi!Y117</f>
        <v>0</v>
      </c>
    </row>
    <row r="118" spans="2:24" ht="15.5">
      <c r="B118" s="83" t="s">
        <v>49</v>
      </c>
      <c r="C118" s="118">
        <v>196</v>
      </c>
      <c r="D118" s="118">
        <v>588</v>
      </c>
      <c r="E118" s="118">
        <v>111</v>
      </c>
      <c r="F118" s="118">
        <v>-68</v>
      </c>
      <c r="G118" s="118">
        <v>66</v>
      </c>
      <c r="H118" s="118">
        <v>54</v>
      </c>
      <c r="I118" s="118">
        <v>572</v>
      </c>
      <c r="J118" s="118">
        <v>-197</v>
      </c>
      <c r="K118" s="118">
        <v>294</v>
      </c>
      <c r="L118" s="118">
        <v>75</v>
      </c>
      <c r="M118" s="118">
        <v>-54</v>
      </c>
      <c r="N118" s="118">
        <v>198</v>
      </c>
      <c r="O118" s="118">
        <v>154</v>
      </c>
      <c r="P118" s="118">
        <v>-203.27058799999998</v>
      </c>
      <c r="Q118" s="118">
        <v>226.07336900000001</v>
      </c>
      <c r="R118" s="118">
        <v>-112.07336900000001</v>
      </c>
      <c r="S118" s="118">
        <v>691</v>
      </c>
      <c r="T118" s="118">
        <v>-769.22453099999996</v>
      </c>
      <c r="V118" s="44" t="s">
        <v>49</v>
      </c>
      <c r="W118" s="118">
        <v>264.200399</v>
      </c>
      <c r="X118" s="118">
        <f>+[33]EEFF_Vías_Chi!Y118</f>
        <v>-1124.4581410000001</v>
      </c>
    </row>
    <row r="119" spans="2:24" ht="15.5">
      <c r="B119" s="85" t="s">
        <v>52</v>
      </c>
      <c r="C119" s="120">
        <v>7128</v>
      </c>
      <c r="D119" s="120">
        <v>6475</v>
      </c>
      <c r="E119" s="120">
        <v>1679</v>
      </c>
      <c r="F119" s="120">
        <v>1430</v>
      </c>
      <c r="G119" s="120">
        <v>1388</v>
      </c>
      <c r="H119" s="120">
        <v>1552</v>
      </c>
      <c r="I119" s="120">
        <v>1548</v>
      </c>
      <c r="J119" s="120">
        <v>2212</v>
      </c>
      <c r="K119" s="120">
        <v>1695</v>
      </c>
      <c r="L119" s="120">
        <v>1631</v>
      </c>
      <c r="M119" s="120">
        <v>1550</v>
      </c>
      <c r="N119" s="120">
        <v>999</v>
      </c>
      <c r="O119" s="120">
        <v>656</v>
      </c>
      <c r="P119" s="120">
        <v>1280.0138309999998</v>
      </c>
      <c r="Q119" s="120">
        <f>+Q116+Q118</f>
        <v>1022.5468610000003</v>
      </c>
      <c r="R119" s="120">
        <v>1800.4531389999993</v>
      </c>
      <c r="S119" s="120">
        <v>3999</v>
      </c>
      <c r="T119" s="120">
        <v>1829.7511439999971</v>
      </c>
      <c r="V119" s="253" t="s">
        <v>52</v>
      </c>
      <c r="W119" s="120">
        <v>1052.0275020000006</v>
      </c>
      <c r="X119" s="120">
        <f>+[33]EEFF_Vías_Chi!Y119</f>
        <v>1736.0731119999987</v>
      </c>
    </row>
    <row r="120" spans="2:24" ht="15.5">
      <c r="B120" s="143"/>
      <c r="C120" s="143"/>
      <c r="D120" s="143"/>
      <c r="E120" s="143"/>
      <c r="F120" s="143"/>
      <c r="G120" s="143"/>
      <c r="H120" s="143"/>
      <c r="I120" s="143"/>
      <c r="J120" s="143"/>
      <c r="K120" s="143"/>
      <c r="L120" s="143"/>
      <c r="M120" s="143"/>
      <c r="N120" s="143"/>
      <c r="O120" s="143"/>
      <c r="P120" s="46"/>
      <c r="Q120" s="46"/>
      <c r="V120" s="46"/>
      <c r="W120" s="653"/>
      <c r="X120" s="653">
        <f>+[33]EEFF_Vías_Chi!Y120</f>
        <v>0</v>
      </c>
    </row>
    <row r="121" spans="2:24" ht="15.5">
      <c r="B121" s="62" t="s">
        <v>361</v>
      </c>
      <c r="C121" s="143"/>
      <c r="D121" s="143"/>
      <c r="E121" s="143"/>
      <c r="F121" s="143"/>
      <c r="G121" s="143"/>
      <c r="H121" s="88"/>
      <c r="I121" s="88"/>
      <c r="J121" s="88"/>
      <c r="K121" s="88"/>
      <c r="L121" s="88"/>
      <c r="M121" s="88"/>
      <c r="N121" s="88"/>
      <c r="O121" s="88"/>
      <c r="P121" s="46"/>
      <c r="Q121" s="46"/>
      <c r="V121" s="85" t="s">
        <v>1104</v>
      </c>
      <c r="W121" s="120">
        <v>3275</v>
      </c>
      <c r="X121" s="120">
        <f>+[33]EEFF_Vías_Chi!Y121</f>
        <v>2829.7079709999989</v>
      </c>
    </row>
    <row r="122" spans="2:24" ht="15.5">
      <c r="B122" s="165" t="s">
        <v>356</v>
      </c>
      <c r="C122" s="143"/>
      <c r="D122" s="143"/>
      <c r="E122" s="143"/>
      <c r="F122" s="143"/>
      <c r="G122" s="143"/>
      <c r="H122" s="89"/>
      <c r="I122" s="89"/>
      <c r="J122" s="89"/>
      <c r="K122" s="89"/>
      <c r="L122" s="89"/>
      <c r="M122" s="89"/>
      <c r="N122" s="89"/>
      <c r="O122" s="89"/>
      <c r="P122" s="46"/>
      <c r="Q122" s="46"/>
      <c r="V122" s="46"/>
      <c r="W122" s="653"/>
      <c r="X122" s="653"/>
    </row>
    <row r="123" spans="2:24" ht="10" customHeight="1">
      <c r="B123" s="90"/>
      <c r="C123" s="143"/>
      <c r="D123" s="143"/>
      <c r="E123" s="143"/>
      <c r="F123" s="143"/>
      <c r="G123" s="143"/>
      <c r="H123" s="90"/>
      <c r="I123" s="90"/>
      <c r="J123" s="90"/>
      <c r="K123" s="90"/>
      <c r="L123" s="90"/>
      <c r="M123" s="90"/>
      <c r="N123" s="90"/>
      <c r="O123" s="90"/>
      <c r="P123" s="46"/>
      <c r="Q123" s="46"/>
      <c r="V123" s="46"/>
      <c r="W123" s="653"/>
      <c r="X123" s="653"/>
    </row>
    <row r="124" spans="2:24" s="46" customFormat="1" ht="15.5" thickBot="1">
      <c r="B124" s="148"/>
      <c r="C124" s="149">
        <v>2016</v>
      </c>
      <c r="D124" s="149">
        <v>2017</v>
      </c>
      <c r="E124" s="149" t="s">
        <v>19</v>
      </c>
      <c r="F124" s="149" t="s">
        <v>20</v>
      </c>
      <c r="G124" s="149" t="s">
        <v>21</v>
      </c>
      <c r="H124" s="149" t="s">
        <v>22</v>
      </c>
      <c r="I124" s="149" t="s">
        <v>23</v>
      </c>
      <c r="J124" s="149" t="s">
        <v>24</v>
      </c>
      <c r="K124" s="149" t="s">
        <v>25</v>
      </c>
      <c r="L124" s="149" t="s">
        <v>26</v>
      </c>
      <c r="M124" s="149" t="s">
        <v>27</v>
      </c>
      <c r="N124" s="149" t="s">
        <v>28</v>
      </c>
      <c r="O124" s="149" t="s">
        <v>29</v>
      </c>
      <c r="P124" s="340" t="s">
        <v>722</v>
      </c>
      <c r="Q124" s="340" t="s">
        <v>739</v>
      </c>
      <c r="R124" s="340" t="s">
        <v>912</v>
      </c>
      <c r="S124" s="340" t="s">
        <v>1051</v>
      </c>
      <c r="T124" s="340" t="s">
        <v>1089</v>
      </c>
      <c r="V124" s="282"/>
      <c r="W124" s="654" t="s">
        <v>1109</v>
      </c>
      <c r="X124" s="654"/>
    </row>
    <row r="125" spans="2:24" s="46" customFormat="1" ht="15">
      <c r="B125" s="179" t="s">
        <v>55</v>
      </c>
      <c r="C125" s="180"/>
      <c r="D125" s="180"/>
      <c r="E125" s="180"/>
      <c r="F125" s="180"/>
      <c r="G125" s="180"/>
      <c r="H125" s="180"/>
      <c r="I125" s="180"/>
      <c r="J125" s="180"/>
      <c r="K125" s="180"/>
      <c r="L125" s="180"/>
      <c r="M125" s="180"/>
      <c r="N125" s="180"/>
      <c r="O125" s="180"/>
      <c r="P125" s="180"/>
      <c r="Q125" s="180"/>
      <c r="R125" s="180"/>
      <c r="S125" s="180"/>
      <c r="T125" s="180"/>
      <c r="V125" s="179" t="s">
        <v>55</v>
      </c>
      <c r="W125" s="655"/>
      <c r="X125" s="655"/>
    </row>
    <row r="126" spans="2:24" ht="15.5" thickBot="1">
      <c r="B126" s="181" t="s">
        <v>56</v>
      </c>
      <c r="C126" s="127"/>
      <c r="D126" s="127"/>
      <c r="E126" s="127"/>
      <c r="F126" s="127"/>
      <c r="G126" s="127"/>
      <c r="H126" s="127"/>
      <c r="I126" s="127"/>
      <c r="J126" s="127"/>
      <c r="K126" s="127"/>
      <c r="L126" s="127"/>
      <c r="M126" s="127"/>
      <c r="N126" s="127"/>
      <c r="O126" s="127"/>
      <c r="P126" s="127"/>
      <c r="Q126" s="127"/>
      <c r="R126" s="127"/>
      <c r="S126" s="127"/>
      <c r="T126" s="127"/>
      <c r="V126" s="181" t="s">
        <v>56</v>
      </c>
      <c r="W126" s="656"/>
      <c r="X126" s="656"/>
    </row>
    <row r="127" spans="2:24" ht="15.5">
      <c r="B127" s="209" t="s">
        <v>57</v>
      </c>
      <c r="C127" s="110">
        <v>17994</v>
      </c>
      <c r="D127" s="110">
        <v>15903</v>
      </c>
      <c r="E127" s="110">
        <v>21306</v>
      </c>
      <c r="F127" s="110">
        <v>32668</v>
      </c>
      <c r="G127" s="110">
        <v>19631</v>
      </c>
      <c r="H127" s="110">
        <v>25310</v>
      </c>
      <c r="I127" s="110">
        <v>25644</v>
      </c>
      <c r="J127" s="110">
        <v>20738</v>
      </c>
      <c r="K127" s="110">
        <v>16854</v>
      </c>
      <c r="L127" s="110">
        <v>22114</v>
      </c>
      <c r="M127" s="110">
        <v>19856</v>
      </c>
      <c r="N127" s="110">
        <v>18379</v>
      </c>
      <c r="O127" s="110">
        <v>12458</v>
      </c>
      <c r="P127" s="110">
        <v>15233.452464</v>
      </c>
      <c r="Q127" s="110">
        <v>23912.079430999998</v>
      </c>
      <c r="R127" s="110">
        <v>19790</v>
      </c>
      <c r="S127" s="110">
        <v>23376</v>
      </c>
      <c r="T127" s="110">
        <v>35463.253642000003</v>
      </c>
      <c r="V127" s="209" t="s">
        <v>57</v>
      </c>
      <c r="W127" s="110">
        <v>20272.018373999999</v>
      </c>
      <c r="X127" s="110">
        <f>+[33]EEFF_Vías_Chi!Y127</f>
        <v>23783.955461000001</v>
      </c>
    </row>
    <row r="128" spans="2:24" ht="15.5">
      <c r="B128" s="209" t="s">
        <v>58</v>
      </c>
      <c r="C128" s="110">
        <v>58149</v>
      </c>
      <c r="D128" s="110">
        <v>65224</v>
      </c>
      <c r="E128" s="110">
        <v>61291</v>
      </c>
      <c r="F128" s="110">
        <v>55916</v>
      </c>
      <c r="G128" s="110">
        <v>58298</v>
      </c>
      <c r="H128" s="110">
        <v>64078</v>
      </c>
      <c r="I128" s="110">
        <v>62728</v>
      </c>
      <c r="J128" s="110">
        <v>68968</v>
      </c>
      <c r="K128" s="110">
        <v>63013</v>
      </c>
      <c r="L128" s="110">
        <v>68405</v>
      </c>
      <c r="M128" s="110">
        <v>67734</v>
      </c>
      <c r="N128" s="110">
        <v>72350</v>
      </c>
      <c r="O128" s="110">
        <v>58162</v>
      </c>
      <c r="P128" s="110">
        <v>67877.837167999998</v>
      </c>
      <c r="Q128" s="110">
        <f>56818.716581+4629.024334</f>
        <v>61447.740915000002</v>
      </c>
      <c r="R128" s="110">
        <v>65175</v>
      </c>
      <c r="S128" s="110">
        <v>66614</v>
      </c>
      <c r="T128" s="110">
        <v>75766.846728999997</v>
      </c>
      <c r="V128" s="209" t="s">
        <v>58</v>
      </c>
      <c r="W128" s="110">
        <v>75544.006196000002</v>
      </c>
      <c r="X128" s="110">
        <f>+[33]EEFF_Vías_Chi!Y128</f>
        <v>85874.798878000001</v>
      </c>
    </row>
    <row r="129" spans="2:24" ht="15.5">
      <c r="B129" s="209" t="s">
        <v>59</v>
      </c>
      <c r="C129" s="110">
        <v>4</v>
      </c>
      <c r="D129" s="110">
        <v>6</v>
      </c>
      <c r="E129" s="110">
        <v>6</v>
      </c>
      <c r="F129" s="110">
        <v>6</v>
      </c>
      <c r="G129" s="110">
        <v>6</v>
      </c>
      <c r="H129" s="110">
        <v>6</v>
      </c>
      <c r="I129" s="110">
        <v>9</v>
      </c>
      <c r="J129" s="110">
        <v>9</v>
      </c>
      <c r="K129" s="110">
        <v>10</v>
      </c>
      <c r="L129" s="110">
        <v>10</v>
      </c>
      <c r="M129" s="110">
        <v>9</v>
      </c>
      <c r="N129" s="110">
        <v>577</v>
      </c>
      <c r="O129" s="110">
        <v>577</v>
      </c>
      <c r="P129" s="110">
        <v>580.93899899999997</v>
      </c>
      <c r="Q129" s="110">
        <v>580.93899899999997</v>
      </c>
      <c r="R129" s="110">
        <v>9</v>
      </c>
      <c r="S129" s="110">
        <v>9</v>
      </c>
      <c r="T129" s="110">
        <v>11.729425000000001</v>
      </c>
      <c r="V129" s="209" t="s">
        <v>59</v>
      </c>
      <c r="W129" s="110">
        <v>11.729425000000001</v>
      </c>
      <c r="X129" s="110">
        <f>+[33]EEFF_Vías_Chi!Y129</f>
        <v>11.729425000000001</v>
      </c>
    </row>
    <row r="130" spans="2:24" ht="15.5">
      <c r="B130" s="209" t="s">
        <v>61</v>
      </c>
      <c r="C130" s="110">
        <v>315</v>
      </c>
      <c r="D130" s="110">
        <v>264</v>
      </c>
      <c r="E130" s="110">
        <v>163</v>
      </c>
      <c r="F130" s="110">
        <v>613</v>
      </c>
      <c r="G130" s="110">
        <v>544</v>
      </c>
      <c r="H130" s="110">
        <v>422</v>
      </c>
      <c r="I130" s="110">
        <v>330</v>
      </c>
      <c r="J130" s="110">
        <v>275</v>
      </c>
      <c r="K130" s="110">
        <v>163</v>
      </c>
      <c r="L130" s="110">
        <v>455</v>
      </c>
      <c r="M130" s="110">
        <v>3956</v>
      </c>
      <c r="N130" s="110">
        <v>439</v>
      </c>
      <c r="O130" s="110">
        <v>271</v>
      </c>
      <c r="P130" s="110">
        <v>666.55438800000002</v>
      </c>
      <c r="Q130" s="110">
        <v>4659.0673079999997</v>
      </c>
      <c r="R130" s="110">
        <v>815</v>
      </c>
      <c r="S130" s="110">
        <v>614</v>
      </c>
      <c r="T130" s="110">
        <v>412.86484400000001</v>
      </c>
      <c r="V130" s="209" t="s">
        <v>61</v>
      </c>
      <c r="W130" s="110">
        <v>4457.9676479999998</v>
      </c>
      <c r="X130" s="110">
        <f>+[33]EEFF_Vías_Chi!Y130</f>
        <v>1214.41354</v>
      </c>
    </row>
    <row r="131" spans="2:24" ht="15.5">
      <c r="B131" s="209" t="s">
        <v>282</v>
      </c>
      <c r="C131" s="110">
        <v>0</v>
      </c>
      <c r="D131" s="110">
        <v>0</v>
      </c>
      <c r="E131" s="110">
        <v>0</v>
      </c>
      <c r="F131" s="110">
        <v>0</v>
      </c>
      <c r="G131" s="110">
        <v>0</v>
      </c>
      <c r="H131" s="110">
        <v>0</v>
      </c>
      <c r="I131" s="110">
        <v>0</v>
      </c>
      <c r="J131" s="110">
        <v>0</v>
      </c>
      <c r="K131" s="110">
        <v>0</v>
      </c>
      <c r="L131" s="110">
        <v>0</v>
      </c>
      <c r="M131" s="110">
        <v>0</v>
      </c>
      <c r="N131" s="110">
        <v>0</v>
      </c>
      <c r="O131" s="110">
        <v>0</v>
      </c>
      <c r="P131" s="110">
        <v>0</v>
      </c>
      <c r="Q131" s="110">
        <v>0</v>
      </c>
      <c r="R131" s="110">
        <v>0</v>
      </c>
      <c r="S131" s="110">
        <v>0</v>
      </c>
      <c r="T131" s="110">
        <v>0</v>
      </c>
      <c r="V131" s="209" t="s">
        <v>282</v>
      </c>
      <c r="W131" s="110">
        <v>0</v>
      </c>
      <c r="X131" s="110">
        <f>+[33]EEFF_Vías_Chi!Y131</f>
        <v>0</v>
      </c>
    </row>
    <row r="132" spans="2:24" ht="15.5">
      <c r="B132" s="209" t="s">
        <v>62</v>
      </c>
      <c r="C132" s="110">
        <v>0</v>
      </c>
      <c r="D132" s="110">
        <v>0</v>
      </c>
      <c r="E132" s="110">
        <v>0</v>
      </c>
      <c r="F132" s="110">
        <v>0</v>
      </c>
      <c r="G132" s="110">
        <v>0</v>
      </c>
      <c r="H132" s="110">
        <v>0</v>
      </c>
      <c r="I132" s="110">
        <v>0</v>
      </c>
      <c r="J132" s="110">
        <v>0</v>
      </c>
      <c r="K132" s="110">
        <v>0</v>
      </c>
      <c r="L132" s="110">
        <v>0</v>
      </c>
      <c r="M132" s="110">
        <v>0</v>
      </c>
      <c r="N132" s="110">
        <v>0</v>
      </c>
      <c r="O132" s="110">
        <v>0</v>
      </c>
      <c r="P132" s="110">
        <v>0</v>
      </c>
      <c r="Q132" s="110">
        <v>0</v>
      </c>
      <c r="R132" s="110">
        <v>0</v>
      </c>
      <c r="S132" s="110">
        <v>0</v>
      </c>
      <c r="T132" s="110">
        <v>0</v>
      </c>
      <c r="V132" s="209" t="s">
        <v>62</v>
      </c>
      <c r="W132" s="110">
        <v>0</v>
      </c>
      <c r="X132" s="110">
        <f>+[33]EEFF_Vías_Chi!Y132</f>
        <v>0</v>
      </c>
    </row>
    <row r="133" spans="2:24" ht="15">
      <c r="B133" s="132" t="s">
        <v>63</v>
      </c>
      <c r="C133" s="185">
        <v>76462</v>
      </c>
      <c r="D133" s="185">
        <v>81397</v>
      </c>
      <c r="E133" s="185">
        <v>82766</v>
      </c>
      <c r="F133" s="185">
        <v>89203</v>
      </c>
      <c r="G133" s="185">
        <v>78479</v>
      </c>
      <c r="H133" s="185">
        <v>89816</v>
      </c>
      <c r="I133" s="185">
        <v>88711</v>
      </c>
      <c r="J133" s="185">
        <v>89990</v>
      </c>
      <c r="K133" s="185">
        <v>80040</v>
      </c>
      <c r="L133" s="185">
        <v>90984</v>
      </c>
      <c r="M133" s="185">
        <v>91555</v>
      </c>
      <c r="N133" s="185">
        <v>91745</v>
      </c>
      <c r="O133" s="185">
        <v>71468</v>
      </c>
      <c r="P133" s="185">
        <f>SUM(P127:P132)</f>
        <v>84358.78301900001</v>
      </c>
      <c r="Q133" s="185">
        <f>SUM(Q127:Q132)</f>
        <v>90599.826652999996</v>
      </c>
      <c r="R133" s="185">
        <v>85789</v>
      </c>
      <c r="S133" s="185">
        <v>90613</v>
      </c>
      <c r="T133" s="185">
        <v>111654.69464</v>
      </c>
      <c r="V133" s="132" t="s">
        <v>63</v>
      </c>
      <c r="W133" s="659">
        <v>100285.72164300001</v>
      </c>
      <c r="X133" s="659">
        <f>+[33]EEFF_Vías_Chi!Y133</f>
        <v>110884.897304</v>
      </c>
    </row>
    <row r="134" spans="2:24" ht="15">
      <c r="B134" s="181" t="s">
        <v>64</v>
      </c>
      <c r="C134" s="182"/>
      <c r="D134" s="182"/>
      <c r="E134" s="182"/>
      <c r="F134" s="182"/>
      <c r="G134" s="182"/>
      <c r="H134" s="182"/>
      <c r="I134" s="182"/>
      <c r="J134" s="182"/>
      <c r="K134" s="182"/>
      <c r="L134" s="182"/>
      <c r="M134" s="182"/>
      <c r="N134" s="182"/>
      <c r="O134" s="182"/>
      <c r="P134" s="182"/>
      <c r="Q134" s="182"/>
      <c r="R134" s="182"/>
      <c r="S134" s="182"/>
      <c r="T134" s="182"/>
      <c r="V134" s="181" t="s">
        <v>64</v>
      </c>
      <c r="W134" s="623"/>
      <c r="X134" s="623">
        <f>+[33]EEFF_Vías_Chi!Y134</f>
        <v>0</v>
      </c>
    </row>
    <row r="135" spans="2:24" ht="15.5">
      <c r="B135" s="209" t="s">
        <v>65</v>
      </c>
      <c r="C135" s="110">
        <v>0</v>
      </c>
      <c r="D135" s="110">
        <v>0</v>
      </c>
      <c r="E135" s="110">
        <v>0</v>
      </c>
      <c r="F135" s="110">
        <v>0</v>
      </c>
      <c r="G135" s="110">
        <v>0</v>
      </c>
      <c r="H135" s="110">
        <v>0</v>
      </c>
      <c r="I135" s="110">
        <v>0</v>
      </c>
      <c r="J135" s="110">
        <v>0</v>
      </c>
      <c r="K135" s="110">
        <v>0</v>
      </c>
      <c r="L135" s="110">
        <v>0</v>
      </c>
      <c r="M135" s="110">
        <v>0</v>
      </c>
      <c r="N135" s="110">
        <v>0</v>
      </c>
      <c r="O135" s="110">
        <v>0</v>
      </c>
      <c r="P135" s="110">
        <v>0</v>
      </c>
      <c r="Q135" s="110">
        <v>0</v>
      </c>
      <c r="R135" s="110">
        <v>0</v>
      </c>
      <c r="S135" s="110">
        <v>0</v>
      </c>
      <c r="T135" s="110">
        <v>0</v>
      </c>
      <c r="V135" s="209" t="s">
        <v>65</v>
      </c>
      <c r="W135" s="110">
        <v>0</v>
      </c>
      <c r="X135" s="110">
        <f>+[33]EEFF_Vías_Chi!Y135</f>
        <v>0</v>
      </c>
    </row>
    <row r="136" spans="2:24" ht="15.5">
      <c r="B136" s="209" t="s">
        <v>66</v>
      </c>
      <c r="C136" s="110">
        <v>0</v>
      </c>
      <c r="D136" s="110">
        <v>0</v>
      </c>
      <c r="E136" s="110">
        <v>0</v>
      </c>
      <c r="F136" s="110">
        <v>0</v>
      </c>
      <c r="G136" s="110">
        <v>0</v>
      </c>
      <c r="H136" s="110">
        <v>0</v>
      </c>
      <c r="I136" s="110">
        <v>0</v>
      </c>
      <c r="J136" s="110">
        <v>0</v>
      </c>
      <c r="K136" s="110">
        <v>0</v>
      </c>
      <c r="L136" s="110">
        <v>0</v>
      </c>
      <c r="M136" s="110">
        <v>0</v>
      </c>
      <c r="N136" s="110">
        <v>0</v>
      </c>
      <c r="O136" s="110">
        <v>0</v>
      </c>
      <c r="P136" s="110">
        <v>0</v>
      </c>
      <c r="Q136" s="110">
        <v>0</v>
      </c>
      <c r="R136" s="110">
        <v>0</v>
      </c>
      <c r="S136" s="110">
        <v>0</v>
      </c>
      <c r="T136" s="110">
        <v>0</v>
      </c>
      <c r="V136" s="209" t="s">
        <v>66</v>
      </c>
      <c r="W136" s="110">
        <v>0</v>
      </c>
      <c r="X136" s="110">
        <f>+[33]EEFF_Vías_Chi!Y136</f>
        <v>0</v>
      </c>
    </row>
    <row r="137" spans="2:24" ht="30">
      <c r="B137" s="209" t="s">
        <v>113</v>
      </c>
      <c r="C137" s="110">
        <v>0</v>
      </c>
      <c r="D137" s="110">
        <v>0</v>
      </c>
      <c r="E137" s="110">
        <v>0</v>
      </c>
      <c r="F137" s="110">
        <v>0</v>
      </c>
      <c r="G137" s="110">
        <v>0</v>
      </c>
      <c r="H137" s="110">
        <v>0</v>
      </c>
      <c r="I137" s="110">
        <v>0</v>
      </c>
      <c r="J137" s="110">
        <v>0</v>
      </c>
      <c r="K137" s="110">
        <v>0</v>
      </c>
      <c r="L137" s="110">
        <v>0</v>
      </c>
      <c r="M137" s="110">
        <v>0</v>
      </c>
      <c r="N137" s="110">
        <v>0</v>
      </c>
      <c r="O137" s="110">
        <v>0</v>
      </c>
      <c r="P137" s="110">
        <v>0</v>
      </c>
      <c r="Q137" s="110">
        <v>0</v>
      </c>
      <c r="R137" s="110">
        <v>0</v>
      </c>
      <c r="S137" s="110">
        <v>0</v>
      </c>
      <c r="T137" s="110">
        <v>0</v>
      </c>
      <c r="V137" s="209" t="s">
        <v>113</v>
      </c>
      <c r="W137" s="110">
        <v>0</v>
      </c>
      <c r="X137" s="110">
        <f>+[33]EEFF_Vías_Chi!Y137</f>
        <v>0</v>
      </c>
    </row>
    <row r="138" spans="2:24" ht="15.5">
      <c r="B138" s="209" t="s">
        <v>114</v>
      </c>
      <c r="C138" s="110">
        <v>0</v>
      </c>
      <c r="D138" s="110">
        <v>0</v>
      </c>
      <c r="E138" s="110">
        <v>0</v>
      </c>
      <c r="F138" s="110">
        <v>0</v>
      </c>
      <c r="G138" s="110">
        <v>0</v>
      </c>
      <c r="H138" s="110">
        <v>0</v>
      </c>
      <c r="I138" s="110">
        <v>0</v>
      </c>
      <c r="J138" s="110">
        <v>0</v>
      </c>
      <c r="K138" s="110">
        <v>0</v>
      </c>
      <c r="L138" s="110">
        <v>0</v>
      </c>
      <c r="M138" s="110">
        <v>0</v>
      </c>
      <c r="N138" s="110">
        <v>0</v>
      </c>
      <c r="O138" s="110">
        <v>0</v>
      </c>
      <c r="P138" s="110">
        <v>0</v>
      </c>
      <c r="Q138" s="110">
        <v>0</v>
      </c>
      <c r="R138" s="110">
        <v>0</v>
      </c>
      <c r="S138" s="110">
        <v>0</v>
      </c>
      <c r="T138" s="110">
        <v>0</v>
      </c>
      <c r="V138" s="209" t="s">
        <v>114</v>
      </c>
      <c r="W138" s="110">
        <v>0</v>
      </c>
      <c r="X138" s="110">
        <f>+[33]EEFF_Vías_Chi!Y138</f>
        <v>0</v>
      </c>
    </row>
    <row r="139" spans="2:24" ht="15.5">
      <c r="B139" s="209" t="s">
        <v>58</v>
      </c>
      <c r="C139" s="110">
        <v>182000</v>
      </c>
      <c r="D139" s="110">
        <v>162376</v>
      </c>
      <c r="E139" s="110">
        <v>150789</v>
      </c>
      <c r="F139" s="110">
        <v>145668</v>
      </c>
      <c r="G139" s="110">
        <v>141484</v>
      </c>
      <c r="H139" s="110">
        <v>132927</v>
      </c>
      <c r="I139" s="110">
        <v>123926</v>
      </c>
      <c r="J139" s="110">
        <v>119778</v>
      </c>
      <c r="K139" s="110">
        <v>112822</v>
      </c>
      <c r="L139" s="110">
        <v>107777</v>
      </c>
      <c r="M139" s="110">
        <v>94637</v>
      </c>
      <c r="N139" s="110">
        <v>93251</v>
      </c>
      <c r="O139" s="110">
        <v>94262</v>
      </c>
      <c r="P139" s="110">
        <v>87898.453836000001</v>
      </c>
      <c r="Q139" s="110">
        <v>76170.717174000005</v>
      </c>
      <c r="R139" s="110">
        <v>70484</v>
      </c>
      <c r="S139" s="110">
        <v>58514</v>
      </c>
      <c r="T139" s="110">
        <v>44882.193113000001</v>
      </c>
      <c r="V139" s="209" t="s">
        <v>58</v>
      </c>
      <c r="W139" s="110">
        <v>29227.476072000001</v>
      </c>
      <c r="X139" s="110">
        <f>+[33]EEFF_Vías_Chi!Y139</f>
        <v>27812.362980999998</v>
      </c>
    </row>
    <row r="140" spans="2:24" ht="15.5">
      <c r="B140" s="209" t="s">
        <v>69</v>
      </c>
      <c r="C140" s="110">
        <v>0</v>
      </c>
      <c r="D140" s="110">
        <v>0</v>
      </c>
      <c r="E140" s="110">
        <v>0</v>
      </c>
      <c r="F140" s="110">
        <v>0</v>
      </c>
      <c r="G140" s="110">
        <v>0</v>
      </c>
      <c r="H140" s="110">
        <v>0</v>
      </c>
      <c r="I140" s="110">
        <v>0</v>
      </c>
      <c r="J140" s="110">
        <v>0</v>
      </c>
      <c r="K140" s="110">
        <v>0</v>
      </c>
      <c r="L140" s="110">
        <v>0</v>
      </c>
      <c r="M140" s="110">
        <v>0</v>
      </c>
      <c r="N140" s="110">
        <v>0</v>
      </c>
      <c r="O140" s="110">
        <v>0</v>
      </c>
      <c r="P140" s="110">
        <v>0</v>
      </c>
      <c r="Q140" s="110">
        <v>0</v>
      </c>
      <c r="R140" s="110">
        <v>0</v>
      </c>
      <c r="S140" s="110">
        <v>0</v>
      </c>
      <c r="T140" s="110">
        <v>0</v>
      </c>
      <c r="V140" s="209" t="s">
        <v>69</v>
      </c>
      <c r="W140" s="110">
        <v>0</v>
      </c>
      <c r="X140" s="110">
        <f>+[33]EEFF_Vías_Chi!Y140</f>
        <v>0</v>
      </c>
    </row>
    <row r="141" spans="2:24" ht="15.5">
      <c r="B141" s="209" t="s">
        <v>70</v>
      </c>
      <c r="C141" s="110">
        <v>80</v>
      </c>
      <c r="D141" s="110">
        <v>117</v>
      </c>
      <c r="E141" s="110">
        <v>105</v>
      </c>
      <c r="F141" s="110">
        <v>94</v>
      </c>
      <c r="G141" s="110">
        <v>84</v>
      </c>
      <c r="H141" s="110">
        <v>90</v>
      </c>
      <c r="I141" s="110">
        <v>158</v>
      </c>
      <c r="J141" s="110">
        <v>80</v>
      </c>
      <c r="K141" s="110">
        <v>91</v>
      </c>
      <c r="L141" s="110">
        <v>86</v>
      </c>
      <c r="M141" s="110">
        <v>84</v>
      </c>
      <c r="N141" s="110">
        <v>78</v>
      </c>
      <c r="O141" s="110">
        <v>71</v>
      </c>
      <c r="P141" s="110">
        <v>69.724816000000004</v>
      </c>
      <c r="Q141" s="110">
        <v>63.521501000000001</v>
      </c>
      <c r="R141" s="110">
        <v>61</v>
      </c>
      <c r="S141" s="110">
        <v>55</v>
      </c>
      <c r="T141" s="110">
        <v>78.431941000000009</v>
      </c>
      <c r="V141" s="209" t="s">
        <v>70</v>
      </c>
      <c r="W141" s="110">
        <v>75.114807999999996</v>
      </c>
      <c r="X141" s="110">
        <f>+[33]EEFF_Vías_Chi!Y141</f>
        <v>67.044551999999996</v>
      </c>
    </row>
    <row r="142" spans="2:24" ht="15.5">
      <c r="B142" s="209" t="s">
        <v>71</v>
      </c>
      <c r="C142" s="110">
        <v>0</v>
      </c>
      <c r="D142" s="110">
        <v>0</v>
      </c>
      <c r="E142" s="110">
        <v>0</v>
      </c>
      <c r="F142" s="110">
        <v>0</v>
      </c>
      <c r="G142" s="110">
        <v>0</v>
      </c>
      <c r="H142" s="110">
        <v>0</v>
      </c>
      <c r="I142" s="110">
        <v>0</v>
      </c>
      <c r="J142" s="110">
        <v>0</v>
      </c>
      <c r="K142" s="110">
        <v>0</v>
      </c>
      <c r="L142" s="110">
        <v>0</v>
      </c>
      <c r="M142" s="110">
        <v>0</v>
      </c>
      <c r="N142" s="110">
        <v>0</v>
      </c>
      <c r="O142" s="110">
        <v>0</v>
      </c>
      <c r="P142" s="110">
        <v>0</v>
      </c>
      <c r="Q142" s="110">
        <v>0</v>
      </c>
      <c r="R142" s="110">
        <v>0</v>
      </c>
      <c r="S142" s="110">
        <v>0</v>
      </c>
      <c r="T142" s="110">
        <v>0</v>
      </c>
      <c r="V142" s="209" t="s">
        <v>71</v>
      </c>
      <c r="W142" s="110">
        <v>0</v>
      </c>
      <c r="X142" s="110">
        <f>+[33]EEFF_Vías_Chi!Y142</f>
        <v>0</v>
      </c>
    </row>
    <row r="143" spans="2:24" ht="15.5">
      <c r="B143" s="209" t="s">
        <v>73</v>
      </c>
      <c r="C143" s="110">
        <v>115</v>
      </c>
      <c r="D143" s="110">
        <v>219</v>
      </c>
      <c r="E143" s="110">
        <v>209</v>
      </c>
      <c r="F143" s="110">
        <v>199</v>
      </c>
      <c r="G143" s="110">
        <v>197</v>
      </c>
      <c r="H143" s="110">
        <v>186</v>
      </c>
      <c r="I143" s="110">
        <v>199</v>
      </c>
      <c r="J143" s="110">
        <v>188</v>
      </c>
      <c r="K143" s="110">
        <v>177</v>
      </c>
      <c r="L143" s="110">
        <v>166</v>
      </c>
      <c r="M143" s="110">
        <v>167</v>
      </c>
      <c r="N143" s="110">
        <v>153</v>
      </c>
      <c r="O143" s="110">
        <v>138</v>
      </c>
      <c r="P143" s="110">
        <v>123.46214999999999</v>
      </c>
      <c r="Q143" s="110">
        <v>110.052351</v>
      </c>
      <c r="R143" s="110">
        <v>99</v>
      </c>
      <c r="S143" s="110">
        <v>88</v>
      </c>
      <c r="T143" s="110">
        <v>76.529155000000003</v>
      </c>
      <c r="V143" s="209" t="s">
        <v>73</v>
      </c>
      <c r="W143" s="110">
        <v>67.134772999999996</v>
      </c>
      <c r="X143" s="110">
        <f>+[33]EEFF_Vías_Chi!Y143</f>
        <v>55.426366000000002</v>
      </c>
    </row>
    <row r="144" spans="2:24" ht="15.5">
      <c r="B144" s="209" t="s">
        <v>61</v>
      </c>
      <c r="C144" s="110">
        <v>0</v>
      </c>
      <c r="D144" s="110">
        <v>0</v>
      </c>
      <c r="E144" s="110">
        <v>0</v>
      </c>
      <c r="F144" s="110">
        <v>0</v>
      </c>
      <c r="G144" s="110">
        <v>0</v>
      </c>
      <c r="H144" s="110">
        <v>0</v>
      </c>
      <c r="I144" s="110">
        <v>0</v>
      </c>
      <c r="J144" s="110">
        <v>0</v>
      </c>
      <c r="K144" s="110">
        <v>0</v>
      </c>
      <c r="L144" s="110">
        <v>0</v>
      </c>
      <c r="M144" s="110">
        <v>0</v>
      </c>
      <c r="N144" s="110">
        <v>0</v>
      </c>
      <c r="O144" s="110">
        <v>0</v>
      </c>
      <c r="P144" s="110">
        <v>0</v>
      </c>
      <c r="Q144" s="110">
        <v>0</v>
      </c>
      <c r="R144" s="110">
        <v>0</v>
      </c>
      <c r="S144" s="110">
        <v>0</v>
      </c>
      <c r="T144" s="110">
        <v>0</v>
      </c>
      <c r="V144" s="209" t="s">
        <v>61</v>
      </c>
      <c r="W144" s="110">
        <v>0</v>
      </c>
      <c r="X144" s="110">
        <f>+[33]EEFF_Vías_Chi!Y144</f>
        <v>0</v>
      </c>
    </row>
    <row r="145" spans="2:24" ht="15.5">
      <c r="B145" s="209" t="s">
        <v>74</v>
      </c>
      <c r="C145" s="110">
        <v>6464</v>
      </c>
      <c r="D145" s="110">
        <v>5876</v>
      </c>
      <c r="E145" s="110">
        <v>5765</v>
      </c>
      <c r="F145" s="110">
        <v>5833</v>
      </c>
      <c r="G145" s="110">
        <v>5766</v>
      </c>
      <c r="H145" s="110">
        <v>5713</v>
      </c>
      <c r="I145" s="110">
        <v>5140</v>
      </c>
      <c r="J145" s="110">
        <v>5338</v>
      </c>
      <c r="K145" s="110">
        <v>5044</v>
      </c>
      <c r="L145" s="110">
        <v>4969</v>
      </c>
      <c r="M145" s="110">
        <v>5023</v>
      </c>
      <c r="N145" s="110">
        <v>4825</v>
      </c>
      <c r="O145" s="110">
        <v>4670</v>
      </c>
      <c r="P145" s="110">
        <v>4873.5888189999996</v>
      </c>
      <c r="Q145" s="110">
        <v>5099.6621880000002</v>
      </c>
      <c r="R145" s="110">
        <v>4988</v>
      </c>
      <c r="S145" s="110">
        <v>5678</v>
      </c>
      <c r="T145" s="110">
        <v>5489.4782880000002</v>
      </c>
      <c r="V145" s="209" t="s">
        <v>74</v>
      </c>
      <c r="W145" s="110">
        <v>4645.1638890000004</v>
      </c>
      <c r="X145" s="110">
        <f>+[33]EEFF_Vías_Chi!Y145</f>
        <v>5769.6220300000004</v>
      </c>
    </row>
    <row r="146" spans="2:24" ht="15.5">
      <c r="B146" s="209" t="s">
        <v>75</v>
      </c>
      <c r="C146" s="110">
        <v>0</v>
      </c>
      <c r="D146" s="110">
        <v>0</v>
      </c>
      <c r="E146" s="110">
        <v>0</v>
      </c>
      <c r="F146" s="110">
        <v>0</v>
      </c>
      <c r="G146" s="110">
        <v>0</v>
      </c>
      <c r="H146" s="110">
        <v>0</v>
      </c>
      <c r="I146" s="110">
        <v>-5</v>
      </c>
      <c r="J146" s="110">
        <v>171</v>
      </c>
      <c r="K146" s="110">
        <v>156</v>
      </c>
      <c r="L146" s="110">
        <v>141</v>
      </c>
      <c r="M146" s="110">
        <v>125</v>
      </c>
      <c r="N146" s="110">
        <v>112</v>
      </c>
      <c r="O146" s="110">
        <v>99</v>
      </c>
      <c r="P146" s="110">
        <v>86.242311999999998</v>
      </c>
      <c r="Q146" s="110">
        <v>98.383752000000001</v>
      </c>
      <c r="R146" s="110">
        <v>86</v>
      </c>
      <c r="S146" s="110">
        <v>74</v>
      </c>
      <c r="T146" s="110">
        <v>81.846199999999996</v>
      </c>
      <c r="V146" s="209" t="s">
        <v>75</v>
      </c>
      <c r="W146" s="110">
        <v>76.443016</v>
      </c>
      <c r="X146" s="110">
        <f>+[33]EEFF_Vías_Chi!Y146</f>
        <v>68.607738999999995</v>
      </c>
    </row>
    <row r="147" spans="2:24" ht="15.5">
      <c r="B147" s="209" t="s">
        <v>62</v>
      </c>
      <c r="C147" s="110">
        <v>0</v>
      </c>
      <c r="D147" s="110">
        <v>0</v>
      </c>
      <c r="E147" s="110">
        <v>0</v>
      </c>
      <c r="F147" s="110">
        <v>0</v>
      </c>
      <c r="G147" s="110">
        <v>0</v>
      </c>
      <c r="H147" s="110">
        <v>0</v>
      </c>
      <c r="I147" s="110">
        <v>0</v>
      </c>
      <c r="J147" s="110">
        <v>0</v>
      </c>
      <c r="K147" s="110">
        <v>0</v>
      </c>
      <c r="L147" s="110">
        <v>0</v>
      </c>
      <c r="M147" s="110">
        <v>0</v>
      </c>
      <c r="N147" s="110">
        <v>0</v>
      </c>
      <c r="O147" s="110">
        <v>0</v>
      </c>
      <c r="P147" s="110">
        <v>0</v>
      </c>
      <c r="Q147" s="110">
        <v>0</v>
      </c>
      <c r="R147" s="110">
        <v>0</v>
      </c>
      <c r="S147" s="110">
        <v>0</v>
      </c>
      <c r="T147" s="110">
        <v>0</v>
      </c>
      <c r="V147" s="209" t="s">
        <v>62</v>
      </c>
      <c r="W147" s="110">
        <v>0</v>
      </c>
      <c r="X147" s="110">
        <f>+[33]EEFF_Vías_Chi!Y147</f>
        <v>0</v>
      </c>
    </row>
    <row r="148" spans="2:24" ht="15">
      <c r="B148" s="181" t="s">
        <v>77</v>
      </c>
      <c r="C148" s="186">
        <v>188659</v>
      </c>
      <c r="D148" s="186">
        <v>168588</v>
      </c>
      <c r="E148" s="186">
        <v>156868</v>
      </c>
      <c r="F148" s="186">
        <v>151794</v>
      </c>
      <c r="G148" s="186">
        <v>147531</v>
      </c>
      <c r="H148" s="186">
        <v>138916</v>
      </c>
      <c r="I148" s="186">
        <v>129418</v>
      </c>
      <c r="J148" s="186">
        <v>125555</v>
      </c>
      <c r="K148" s="186">
        <v>118290</v>
      </c>
      <c r="L148" s="186">
        <v>113139</v>
      </c>
      <c r="M148" s="186">
        <v>100036</v>
      </c>
      <c r="N148" s="186">
        <v>98419</v>
      </c>
      <c r="O148" s="186">
        <v>99240</v>
      </c>
      <c r="P148" s="186">
        <f>SUM(P135:P147)</f>
        <v>93051.471933000008</v>
      </c>
      <c r="Q148" s="186">
        <f>SUM(Q135:Q147)</f>
        <v>81542.336966000003</v>
      </c>
      <c r="R148" s="186">
        <v>75718</v>
      </c>
      <c r="S148" s="186">
        <v>64409</v>
      </c>
      <c r="T148" s="186">
        <v>50608.478696999999</v>
      </c>
      <c r="V148" s="181" t="s">
        <v>77</v>
      </c>
      <c r="W148" s="661">
        <v>34091.332558000002</v>
      </c>
      <c r="X148" s="661">
        <f>+[33]EEFF_Vías_Chi!Y148</f>
        <v>33773.063667999995</v>
      </c>
    </row>
    <row r="149" spans="2:24" ht="15">
      <c r="B149" s="132" t="s">
        <v>78</v>
      </c>
      <c r="C149" s="185">
        <v>265121</v>
      </c>
      <c r="D149" s="185">
        <v>249985</v>
      </c>
      <c r="E149" s="185">
        <v>239634</v>
      </c>
      <c r="F149" s="185">
        <v>240997</v>
      </c>
      <c r="G149" s="185">
        <v>226010</v>
      </c>
      <c r="H149" s="185">
        <v>228732</v>
      </c>
      <c r="I149" s="185">
        <v>218129</v>
      </c>
      <c r="J149" s="185">
        <v>215545</v>
      </c>
      <c r="K149" s="185">
        <v>198330</v>
      </c>
      <c r="L149" s="185">
        <v>204123</v>
      </c>
      <c r="M149" s="185">
        <v>191591</v>
      </c>
      <c r="N149" s="185">
        <v>190164</v>
      </c>
      <c r="O149" s="185">
        <v>170708</v>
      </c>
      <c r="P149" s="185">
        <f>+P133+P148</f>
        <v>177410.25495200002</v>
      </c>
      <c r="Q149" s="185">
        <f>+Q133+Q148</f>
        <v>172142.163619</v>
      </c>
      <c r="R149" s="185">
        <v>161507</v>
      </c>
      <c r="S149" s="185">
        <v>155022</v>
      </c>
      <c r="T149" s="185">
        <v>162263.17333700001</v>
      </c>
      <c r="V149" s="132" t="s">
        <v>78</v>
      </c>
      <c r="W149" s="659">
        <v>134377.05420100002</v>
      </c>
      <c r="X149" s="659">
        <f>+[33]EEFF_Vías_Chi!Y149</f>
        <v>144657.960972</v>
      </c>
    </row>
    <row r="150" spans="2:24" ht="15">
      <c r="B150" s="134"/>
      <c r="C150" s="187"/>
      <c r="D150" s="187"/>
      <c r="E150" s="187"/>
      <c r="F150" s="187"/>
      <c r="G150" s="187"/>
      <c r="H150" s="187"/>
      <c r="I150" s="187"/>
      <c r="J150" s="187"/>
      <c r="K150" s="187"/>
      <c r="L150" s="187"/>
      <c r="M150" s="187"/>
      <c r="N150" s="187"/>
      <c r="O150" s="187"/>
      <c r="P150" s="187"/>
      <c r="Q150" s="187"/>
      <c r="R150" s="187"/>
      <c r="S150" s="187">
        <v>0</v>
      </c>
      <c r="T150" s="187"/>
      <c r="V150" s="134"/>
      <c r="W150" s="663"/>
      <c r="X150" s="663">
        <f>+[33]EEFF_Vías_Chi!Y150</f>
        <v>0</v>
      </c>
    </row>
    <row r="151" spans="2:24" ht="15">
      <c r="B151" s="188" t="s">
        <v>79</v>
      </c>
      <c r="C151" s="189"/>
      <c r="D151" s="189"/>
      <c r="E151" s="189"/>
      <c r="F151" s="189"/>
      <c r="G151" s="189"/>
      <c r="H151" s="189"/>
      <c r="I151" s="189"/>
      <c r="J151" s="189"/>
      <c r="K151" s="189"/>
      <c r="L151" s="189"/>
      <c r="M151" s="189"/>
      <c r="N151" s="189"/>
      <c r="O151" s="189"/>
      <c r="P151" s="189"/>
      <c r="Q151" s="189"/>
      <c r="R151" s="189"/>
      <c r="S151" s="189"/>
      <c r="T151" s="189"/>
      <c r="V151" s="188" t="s">
        <v>79</v>
      </c>
      <c r="W151" s="665"/>
      <c r="X151" s="665">
        <f>+[33]EEFF_Vías_Chi!Y151</f>
        <v>0</v>
      </c>
    </row>
    <row r="152" spans="2:24" ht="15">
      <c r="B152" s="181" t="s">
        <v>80</v>
      </c>
      <c r="C152" s="190"/>
      <c r="D152" s="190"/>
      <c r="E152" s="190"/>
      <c r="F152" s="190"/>
      <c r="G152" s="190"/>
      <c r="H152" s="190"/>
      <c r="I152" s="190"/>
      <c r="J152" s="190"/>
      <c r="K152" s="190"/>
      <c r="L152" s="190"/>
      <c r="M152" s="190"/>
      <c r="N152" s="190"/>
      <c r="O152" s="190"/>
      <c r="P152" s="190"/>
      <c r="Q152" s="190"/>
      <c r="R152" s="190"/>
      <c r="S152" s="190"/>
      <c r="T152" s="190"/>
      <c r="V152" s="181" t="s">
        <v>80</v>
      </c>
      <c r="W152" s="666"/>
      <c r="X152" s="666">
        <f>+[33]EEFF_Vías_Chi!Y152</f>
        <v>0</v>
      </c>
    </row>
    <row r="153" spans="2:24" ht="15.5">
      <c r="B153" s="209" t="s">
        <v>81</v>
      </c>
      <c r="C153" s="110">
        <v>25310</v>
      </c>
      <c r="D153" s="110">
        <v>31122</v>
      </c>
      <c r="E153" s="110">
        <v>27246</v>
      </c>
      <c r="F153" s="110">
        <v>28638</v>
      </c>
      <c r="G153" s="110">
        <v>29062</v>
      </c>
      <c r="H153" s="110">
        <v>30196</v>
      </c>
      <c r="I153" s="110">
        <v>30700</v>
      </c>
      <c r="J153" s="110">
        <v>32021</v>
      </c>
      <c r="K153" s="110">
        <v>33127</v>
      </c>
      <c r="L153" s="110">
        <v>34180</v>
      </c>
      <c r="M153" s="110">
        <v>35165</v>
      </c>
      <c r="N153" s="110">
        <v>35836</v>
      </c>
      <c r="O153" s="110">
        <v>37358</v>
      </c>
      <c r="P153" s="110">
        <v>37334.165015999999</v>
      </c>
      <c r="Q153" s="110">
        <v>14668.65756</v>
      </c>
      <c r="R153" s="110">
        <v>18049</v>
      </c>
      <c r="S153" s="110">
        <v>21928</v>
      </c>
      <c r="T153" s="110">
        <v>22855.740037</v>
      </c>
      <c r="V153" s="209" t="s">
        <v>81</v>
      </c>
      <c r="W153" s="110">
        <v>35697.430889000003</v>
      </c>
      <c r="X153" s="110">
        <f>+[33]EEFF_Vías_Chi!Y153</f>
        <v>37977.839837</v>
      </c>
    </row>
    <row r="154" spans="2:24" ht="15.5">
      <c r="B154" s="209" t="s">
        <v>82</v>
      </c>
      <c r="C154" s="110">
        <v>7165</v>
      </c>
      <c r="D154" s="110">
        <v>8339</v>
      </c>
      <c r="E154" s="110">
        <v>7033</v>
      </c>
      <c r="F154" s="110">
        <v>7498</v>
      </c>
      <c r="G154" s="110">
        <v>7246</v>
      </c>
      <c r="H154" s="110">
        <v>8112</v>
      </c>
      <c r="I154" s="110">
        <v>4463</v>
      </c>
      <c r="J154" s="110">
        <v>7923</v>
      </c>
      <c r="K154" s="110">
        <v>7551</v>
      </c>
      <c r="L154" s="110">
        <v>8251</v>
      </c>
      <c r="M154" s="110">
        <v>9108</v>
      </c>
      <c r="N154" s="110">
        <v>7958</v>
      </c>
      <c r="O154" s="110">
        <v>8728</v>
      </c>
      <c r="P154" s="110">
        <v>11769.729023</v>
      </c>
      <c r="Q154" s="110">
        <f>10018.433679-3.646257</f>
        <v>10014.787421999999</v>
      </c>
      <c r="R154" s="110">
        <v>9757</v>
      </c>
      <c r="S154" s="110">
        <v>9729</v>
      </c>
      <c r="T154" s="110">
        <v>10614.525377</v>
      </c>
      <c r="V154" s="209" t="s">
        <v>82</v>
      </c>
      <c r="W154" s="110">
        <v>3820.9416449999999</v>
      </c>
      <c r="X154" s="110">
        <f>+[33]EEFF_Vías_Chi!Y154</f>
        <v>10664.546304</v>
      </c>
    </row>
    <row r="155" spans="2:24" ht="15.5">
      <c r="B155" s="209" t="s">
        <v>84</v>
      </c>
      <c r="C155" s="110">
        <v>18</v>
      </c>
      <c r="D155" s="110">
        <v>16</v>
      </c>
      <c r="E155" s="110">
        <v>44</v>
      </c>
      <c r="F155" s="110">
        <v>14</v>
      </c>
      <c r="G155" s="110">
        <v>18</v>
      </c>
      <c r="H155" s="110">
        <v>21</v>
      </c>
      <c r="I155" s="110">
        <v>16</v>
      </c>
      <c r="J155" s="110">
        <v>17</v>
      </c>
      <c r="K155" s="110">
        <v>19</v>
      </c>
      <c r="L155" s="110">
        <v>22</v>
      </c>
      <c r="M155" s="110">
        <v>22</v>
      </c>
      <c r="N155" s="110">
        <v>28</v>
      </c>
      <c r="O155" s="110">
        <v>30</v>
      </c>
      <c r="P155" s="110">
        <v>29.352350999999999</v>
      </c>
      <c r="Q155" s="110">
        <v>22.584427999999999</v>
      </c>
      <c r="R155" s="110">
        <v>24</v>
      </c>
      <c r="S155" s="110">
        <v>27</v>
      </c>
      <c r="T155" s="110">
        <v>27.868293000000001</v>
      </c>
      <c r="V155" s="209" t="s">
        <v>84</v>
      </c>
      <c r="W155" s="110">
        <v>22.851267</v>
      </c>
      <c r="X155" s="110">
        <f>+[33]EEFF_Vías_Chi!Y155</f>
        <v>25.786845</v>
      </c>
    </row>
    <row r="156" spans="2:24" ht="15.5">
      <c r="B156" s="209" t="s">
        <v>59</v>
      </c>
      <c r="C156" s="110">
        <v>878</v>
      </c>
      <c r="D156" s="110">
        <v>1030</v>
      </c>
      <c r="E156" s="110">
        <v>827</v>
      </c>
      <c r="F156" s="110">
        <v>616</v>
      </c>
      <c r="G156" s="110">
        <v>582</v>
      </c>
      <c r="H156" s="110">
        <v>583</v>
      </c>
      <c r="I156" s="110">
        <v>647</v>
      </c>
      <c r="J156" s="110">
        <v>581</v>
      </c>
      <c r="K156" s="110">
        <v>643</v>
      </c>
      <c r="L156" s="110">
        <v>1491</v>
      </c>
      <c r="M156" s="110">
        <v>121</v>
      </c>
      <c r="N156" s="110">
        <v>403</v>
      </c>
      <c r="O156" s="110">
        <v>644</v>
      </c>
      <c r="P156" s="110">
        <v>723.85848599999997</v>
      </c>
      <c r="Q156" s="110">
        <f>928.771405+3.646257</f>
        <v>932.41766199999995</v>
      </c>
      <c r="R156" s="110">
        <v>969</v>
      </c>
      <c r="S156" s="110">
        <v>730</v>
      </c>
      <c r="T156" s="110">
        <v>805.13452099999995</v>
      </c>
      <c r="V156" s="209" t="s">
        <v>59</v>
      </c>
      <c r="W156" s="110">
        <v>1234.8453420000001</v>
      </c>
      <c r="X156" s="110">
        <f>+[33]EEFF_Vías_Chi!Y156</f>
        <v>384.834744</v>
      </c>
    </row>
    <row r="157" spans="2:24" ht="15.5">
      <c r="B157" s="209" t="s">
        <v>85</v>
      </c>
      <c r="C157" s="110">
        <v>772</v>
      </c>
      <c r="D157" s="110">
        <v>858</v>
      </c>
      <c r="E157" s="110">
        <v>0</v>
      </c>
      <c r="F157" s="110">
        <v>0</v>
      </c>
      <c r="G157" s="110">
        <v>125</v>
      </c>
      <c r="H157" s="110">
        <v>0</v>
      </c>
      <c r="I157" s="110">
        <v>1408</v>
      </c>
      <c r="J157" s="110">
        <v>467</v>
      </c>
      <c r="K157" s="110">
        <v>229</v>
      </c>
      <c r="L157" s="110">
        <v>559</v>
      </c>
      <c r="M157" s="110">
        <v>138</v>
      </c>
      <c r="N157" s="110">
        <v>138</v>
      </c>
      <c r="O157" s="110">
        <v>138</v>
      </c>
      <c r="P157" s="110">
        <v>577.29338900000005</v>
      </c>
      <c r="Q157" s="110">
        <v>219.78016</v>
      </c>
      <c r="R157" s="110">
        <v>16</v>
      </c>
      <c r="S157" s="110">
        <v>17</v>
      </c>
      <c r="T157" s="110">
        <v>837.01104099999998</v>
      </c>
      <c r="V157" s="209" t="s">
        <v>85</v>
      </c>
      <c r="W157" s="110">
        <v>1255.492641</v>
      </c>
      <c r="X157" s="110">
        <f>+[33]EEFF_Vías_Chi!Y157</f>
        <v>2303.6722220000001</v>
      </c>
    </row>
    <row r="158" spans="2:24" ht="15.5">
      <c r="B158" s="209" t="s">
        <v>83</v>
      </c>
      <c r="C158" s="110">
        <v>152</v>
      </c>
      <c r="D158" s="110">
        <v>161</v>
      </c>
      <c r="E158" s="110">
        <v>128</v>
      </c>
      <c r="F158" s="110">
        <v>141</v>
      </c>
      <c r="G158" s="110">
        <v>156</v>
      </c>
      <c r="H158" s="110">
        <v>165</v>
      </c>
      <c r="I158" s="110">
        <v>131</v>
      </c>
      <c r="J158" s="110">
        <v>140</v>
      </c>
      <c r="K158" s="110">
        <v>149</v>
      </c>
      <c r="L158" s="110">
        <v>165</v>
      </c>
      <c r="M158" s="110">
        <v>135</v>
      </c>
      <c r="N158" s="110">
        <v>144</v>
      </c>
      <c r="O158" s="110">
        <v>152</v>
      </c>
      <c r="P158" s="110">
        <v>168.10815199999999</v>
      </c>
      <c r="Q158" s="110">
        <v>141.70902899999999</v>
      </c>
      <c r="R158" s="110">
        <v>149</v>
      </c>
      <c r="S158" s="110">
        <v>171</v>
      </c>
      <c r="T158" s="110">
        <v>198.28232499999999</v>
      </c>
      <c r="V158" s="209" t="s">
        <v>83</v>
      </c>
      <c r="W158" s="110">
        <v>155.05321000000001</v>
      </c>
      <c r="X158" s="110">
        <f>+[33]EEFF_Vías_Chi!Y158</f>
        <v>183.23755700000001</v>
      </c>
    </row>
    <row r="159" spans="2:24" ht="15.5">
      <c r="B159" s="209" t="s">
        <v>86</v>
      </c>
      <c r="C159" s="110">
        <v>0</v>
      </c>
      <c r="D159" s="110">
        <v>0</v>
      </c>
      <c r="E159" s="110">
        <v>0</v>
      </c>
      <c r="F159" s="110">
        <v>0</v>
      </c>
      <c r="G159" s="110">
        <v>0</v>
      </c>
      <c r="H159" s="110">
        <v>0</v>
      </c>
      <c r="I159" s="110">
        <v>0</v>
      </c>
      <c r="J159" s="110">
        <v>0</v>
      </c>
      <c r="K159" s="110">
        <v>0</v>
      </c>
      <c r="L159" s="110">
        <v>0</v>
      </c>
      <c r="M159" s="110">
        <v>0</v>
      </c>
      <c r="N159" s="110">
        <v>0</v>
      </c>
      <c r="O159" s="110">
        <v>0</v>
      </c>
      <c r="P159" s="110">
        <v>0</v>
      </c>
      <c r="Q159" s="110">
        <v>0</v>
      </c>
      <c r="R159" s="110">
        <v>0</v>
      </c>
      <c r="S159" s="110">
        <v>0</v>
      </c>
      <c r="T159" s="110">
        <v>56.267878000000003</v>
      </c>
      <c r="V159" s="209" t="s">
        <v>86</v>
      </c>
      <c r="W159" s="110">
        <v>0</v>
      </c>
      <c r="X159" s="110">
        <f>+[33]EEFF_Vías_Chi!Y159</f>
        <v>1.8254859999999999</v>
      </c>
    </row>
    <row r="160" spans="2:24" ht="15.5">
      <c r="B160" s="209" t="s">
        <v>115</v>
      </c>
      <c r="C160" s="110">
        <v>0</v>
      </c>
      <c r="D160" s="110">
        <v>0</v>
      </c>
      <c r="E160" s="110">
        <v>0</v>
      </c>
      <c r="F160" s="110">
        <v>0</v>
      </c>
      <c r="G160" s="110">
        <v>0</v>
      </c>
      <c r="H160" s="110">
        <v>0</v>
      </c>
      <c r="I160" s="110">
        <v>0</v>
      </c>
      <c r="J160" s="110">
        <v>0</v>
      </c>
      <c r="K160" s="110">
        <v>0</v>
      </c>
      <c r="L160" s="110">
        <v>0</v>
      </c>
      <c r="M160" s="110">
        <v>0</v>
      </c>
      <c r="N160" s="110">
        <v>0</v>
      </c>
      <c r="O160" s="110">
        <v>0</v>
      </c>
      <c r="P160" s="110">
        <v>0</v>
      </c>
      <c r="Q160" s="110">
        <v>0</v>
      </c>
      <c r="R160" s="110">
        <v>0</v>
      </c>
      <c r="S160" s="110">
        <v>0</v>
      </c>
      <c r="T160" s="110">
        <v>0</v>
      </c>
      <c r="V160" s="209" t="s">
        <v>115</v>
      </c>
      <c r="W160" s="110">
        <v>0</v>
      </c>
      <c r="X160" s="110">
        <f>+[33]EEFF_Vías_Chi!Y160</f>
        <v>0</v>
      </c>
    </row>
    <row r="161" spans="2:24" ht="15">
      <c r="B161" s="181" t="s">
        <v>88</v>
      </c>
      <c r="C161" s="186">
        <v>34295</v>
      </c>
      <c r="D161" s="186">
        <v>41526</v>
      </c>
      <c r="E161" s="186">
        <v>35278</v>
      </c>
      <c r="F161" s="186">
        <v>36907</v>
      </c>
      <c r="G161" s="186">
        <v>37189</v>
      </c>
      <c r="H161" s="186">
        <v>39077</v>
      </c>
      <c r="I161" s="186">
        <v>37365</v>
      </c>
      <c r="J161" s="186">
        <v>41149</v>
      </c>
      <c r="K161" s="186">
        <v>41718</v>
      </c>
      <c r="L161" s="186">
        <v>44668</v>
      </c>
      <c r="M161" s="186">
        <v>44689</v>
      </c>
      <c r="N161" s="186">
        <v>44507</v>
      </c>
      <c r="O161" s="186">
        <v>47050</v>
      </c>
      <c r="P161" s="186">
        <f>SUM(P153:P160)</f>
        <v>50602.506416999997</v>
      </c>
      <c r="Q161" s="186">
        <f>SUM(Q153:Q160)</f>
        <v>25999.936260999999</v>
      </c>
      <c r="R161" s="186">
        <v>28964</v>
      </c>
      <c r="S161" s="186">
        <v>32602</v>
      </c>
      <c r="T161" s="186">
        <v>35394.829471999998</v>
      </c>
      <c r="V161" s="181" t="s">
        <v>88</v>
      </c>
      <c r="W161" s="661">
        <v>42186.614993999996</v>
      </c>
      <c r="X161" s="661">
        <f>+[33]EEFF_Vías_Chi!Y161</f>
        <v>51541.742995000001</v>
      </c>
    </row>
    <row r="162" spans="2:24" ht="15">
      <c r="B162" s="191" t="s">
        <v>89</v>
      </c>
      <c r="C162" s="192"/>
      <c r="D162" s="192"/>
      <c r="E162" s="192"/>
      <c r="F162" s="192"/>
      <c r="G162" s="192"/>
      <c r="H162" s="192"/>
      <c r="I162" s="192"/>
      <c r="J162" s="192"/>
      <c r="K162" s="192"/>
      <c r="L162" s="192"/>
      <c r="M162" s="192"/>
      <c r="N162" s="192"/>
      <c r="O162" s="192"/>
      <c r="P162" s="192"/>
      <c r="Q162" s="192"/>
      <c r="R162" s="192"/>
      <c r="S162" s="192"/>
      <c r="T162" s="192"/>
      <c r="V162" s="191" t="s">
        <v>89</v>
      </c>
      <c r="W162" s="662"/>
      <c r="X162" s="662">
        <f>+[33]EEFF_Vías_Chi!Y162</f>
        <v>0</v>
      </c>
    </row>
    <row r="163" spans="2:24" ht="15.5">
      <c r="B163" s="209" t="s">
        <v>81</v>
      </c>
      <c r="C163" s="110">
        <v>128683</v>
      </c>
      <c r="D163" s="110">
        <v>102848</v>
      </c>
      <c r="E163" s="110">
        <v>96132</v>
      </c>
      <c r="F163" s="110">
        <v>96612</v>
      </c>
      <c r="G163" s="110">
        <v>82198</v>
      </c>
      <c r="H163" s="110">
        <v>83008</v>
      </c>
      <c r="I163" s="110">
        <v>71740</v>
      </c>
      <c r="J163" s="110">
        <v>73944</v>
      </c>
      <c r="K163" s="110">
        <v>57213</v>
      </c>
      <c r="L163" s="110">
        <v>57708</v>
      </c>
      <c r="M163" s="110">
        <v>42853</v>
      </c>
      <c r="N163" s="110">
        <v>43289</v>
      </c>
      <c r="O163" s="110">
        <v>23745</v>
      </c>
      <c r="P163" s="110">
        <v>25209.750968</v>
      </c>
      <c r="Q163" s="110">
        <v>42481.993174000003</v>
      </c>
      <c r="R163" s="110">
        <v>60079</v>
      </c>
      <c r="S163" s="110">
        <v>51268</v>
      </c>
      <c r="T163" s="110">
        <v>52757.632638000003</v>
      </c>
      <c r="V163" s="209" t="s">
        <v>81</v>
      </c>
      <c r="W163" s="110">
        <v>24950.447708</v>
      </c>
      <c r="X163" s="110">
        <f>+[33]EEFF_Vías_Chi!Y163</f>
        <v>26889.468815</v>
      </c>
    </row>
    <row r="164" spans="2:24" ht="15.5">
      <c r="B164" s="209" t="s">
        <v>82</v>
      </c>
      <c r="C164" s="110">
        <v>29057</v>
      </c>
      <c r="D164" s="110">
        <v>26050</v>
      </c>
      <c r="E164" s="110">
        <v>26984</v>
      </c>
      <c r="F164" s="110">
        <v>24808</v>
      </c>
      <c r="G164" s="110">
        <v>22565</v>
      </c>
      <c r="H164" s="110">
        <v>21037</v>
      </c>
      <c r="I164" s="110">
        <v>21865</v>
      </c>
      <c r="J164" s="110">
        <v>19379</v>
      </c>
      <c r="K164" s="110">
        <v>16631</v>
      </c>
      <c r="L164" s="110">
        <v>17348</v>
      </c>
      <c r="M164" s="110">
        <v>18100</v>
      </c>
      <c r="N164" s="110">
        <v>15420</v>
      </c>
      <c r="O164" s="110">
        <v>12309</v>
      </c>
      <c r="P164" s="110">
        <v>12713.751821</v>
      </c>
      <c r="Q164" s="110">
        <f>13702.809773+50.631804</f>
        <v>13753.441577000001</v>
      </c>
      <c r="R164" s="110">
        <v>10343</v>
      </c>
      <c r="S164" s="110">
        <v>6826</v>
      </c>
      <c r="T164" s="110">
        <v>7375.1703369999996</v>
      </c>
      <c r="V164" s="209" t="s">
        <v>82</v>
      </c>
      <c r="W164" s="110">
        <v>32.537106999999999</v>
      </c>
      <c r="X164" s="110">
        <f>+[33]EEFF_Vías_Chi!Y164</f>
        <v>29.420718999999998</v>
      </c>
    </row>
    <row r="165" spans="2:24" ht="15.5">
      <c r="B165" s="209" t="s">
        <v>90</v>
      </c>
      <c r="C165" s="110">
        <v>0</v>
      </c>
      <c r="D165" s="110">
        <v>0</v>
      </c>
      <c r="E165" s="110">
        <v>0</v>
      </c>
      <c r="F165" s="110">
        <v>0</v>
      </c>
      <c r="G165" s="110">
        <v>0</v>
      </c>
      <c r="H165" s="110">
        <v>0</v>
      </c>
      <c r="I165" s="110">
        <v>0</v>
      </c>
      <c r="J165" s="110">
        <v>0</v>
      </c>
      <c r="K165" s="110">
        <v>0</v>
      </c>
      <c r="L165" s="110">
        <v>0</v>
      </c>
      <c r="M165" s="110">
        <v>0</v>
      </c>
      <c r="N165" s="110">
        <v>0</v>
      </c>
      <c r="O165" s="110">
        <v>0</v>
      </c>
      <c r="P165" s="110">
        <v>0</v>
      </c>
      <c r="Q165" s="110">
        <v>0</v>
      </c>
      <c r="R165" s="110">
        <v>0</v>
      </c>
      <c r="S165" s="110">
        <v>0</v>
      </c>
      <c r="T165" s="110">
        <v>0</v>
      </c>
      <c r="V165" s="209" t="s">
        <v>90</v>
      </c>
      <c r="W165" s="110">
        <v>0</v>
      </c>
      <c r="X165" s="110">
        <f>+[33]EEFF_Vías_Chi!Y165</f>
        <v>0</v>
      </c>
    </row>
    <row r="166" spans="2:24" ht="15.5">
      <c r="B166" s="209" t="s">
        <v>84</v>
      </c>
      <c r="C166" s="110">
        <v>0</v>
      </c>
      <c r="D166" s="110">
        <v>0</v>
      </c>
      <c r="E166" s="110">
        <v>0</v>
      </c>
      <c r="F166" s="110">
        <v>0</v>
      </c>
      <c r="G166" s="110">
        <v>0</v>
      </c>
      <c r="H166" s="110">
        <v>0</v>
      </c>
      <c r="I166" s="110">
        <v>0</v>
      </c>
      <c r="J166" s="110">
        <v>0</v>
      </c>
      <c r="K166" s="110">
        <v>0</v>
      </c>
      <c r="L166" s="110">
        <v>0</v>
      </c>
      <c r="M166" s="110">
        <v>0</v>
      </c>
      <c r="N166" s="110">
        <v>0</v>
      </c>
      <c r="O166" s="110">
        <v>0</v>
      </c>
      <c r="P166" s="110">
        <v>0</v>
      </c>
      <c r="Q166" s="110">
        <v>0</v>
      </c>
      <c r="R166" s="110">
        <v>0</v>
      </c>
      <c r="S166" s="110">
        <v>0</v>
      </c>
      <c r="T166" s="110">
        <v>0</v>
      </c>
      <c r="V166" s="209" t="s">
        <v>84</v>
      </c>
      <c r="W166" s="110">
        <v>0</v>
      </c>
      <c r="X166" s="110">
        <f>+[33]EEFF_Vías_Chi!Y166</f>
        <v>0</v>
      </c>
    </row>
    <row r="167" spans="2:24" ht="15.5">
      <c r="B167" s="209" t="s">
        <v>85</v>
      </c>
      <c r="C167" s="110">
        <v>0</v>
      </c>
      <c r="D167" s="110">
        <v>0</v>
      </c>
      <c r="E167" s="110">
        <v>0</v>
      </c>
      <c r="F167" s="110">
        <v>0</v>
      </c>
      <c r="G167" s="110">
        <v>0</v>
      </c>
      <c r="H167" s="110">
        <v>0</v>
      </c>
      <c r="I167" s="110">
        <v>0</v>
      </c>
      <c r="J167" s="110">
        <v>0</v>
      </c>
      <c r="K167" s="110">
        <v>0</v>
      </c>
      <c r="L167" s="110">
        <v>0</v>
      </c>
      <c r="M167" s="110">
        <v>0</v>
      </c>
      <c r="N167" s="110">
        <v>0</v>
      </c>
      <c r="O167" s="110">
        <v>0</v>
      </c>
      <c r="P167" s="110">
        <v>0</v>
      </c>
      <c r="Q167" s="110">
        <v>0</v>
      </c>
      <c r="R167" s="110">
        <v>0</v>
      </c>
      <c r="S167" s="110">
        <v>0</v>
      </c>
      <c r="T167" s="110">
        <v>0</v>
      </c>
      <c r="V167" s="209" t="s">
        <v>85</v>
      </c>
      <c r="W167" s="110">
        <v>0</v>
      </c>
      <c r="X167" s="110">
        <f>+[33]EEFF_Vías_Chi!Y167</f>
        <v>0</v>
      </c>
    </row>
    <row r="168" spans="2:24" ht="15.5">
      <c r="B168" s="209" t="s">
        <v>86</v>
      </c>
      <c r="C168" s="110">
        <v>0</v>
      </c>
      <c r="D168" s="110">
        <v>0</v>
      </c>
      <c r="E168" s="110">
        <v>0</v>
      </c>
      <c r="F168" s="110">
        <v>0</v>
      </c>
      <c r="G168" s="110">
        <v>0</v>
      </c>
      <c r="H168" s="110">
        <v>0</v>
      </c>
      <c r="I168" s="110">
        <v>0</v>
      </c>
      <c r="J168" s="110">
        <v>0</v>
      </c>
      <c r="K168" s="110">
        <v>0</v>
      </c>
      <c r="L168" s="110">
        <v>0</v>
      </c>
      <c r="M168" s="110">
        <v>0</v>
      </c>
      <c r="N168" s="110">
        <v>0</v>
      </c>
      <c r="O168" s="110">
        <v>0</v>
      </c>
      <c r="P168" s="110">
        <v>0</v>
      </c>
      <c r="Q168" s="110">
        <v>0</v>
      </c>
      <c r="R168" s="110">
        <v>0</v>
      </c>
      <c r="S168" s="110">
        <v>0</v>
      </c>
      <c r="T168" s="110">
        <v>0</v>
      </c>
      <c r="V168" s="209" t="s">
        <v>86</v>
      </c>
      <c r="W168" s="110">
        <v>0</v>
      </c>
      <c r="X168" s="110">
        <f>+[33]EEFF_Vías_Chi!Y168</f>
        <v>0</v>
      </c>
    </row>
    <row r="169" spans="2:24" ht="15.5">
      <c r="B169" s="209" t="s">
        <v>116</v>
      </c>
      <c r="C169" s="110">
        <v>0</v>
      </c>
      <c r="D169" s="110">
        <v>0</v>
      </c>
      <c r="E169" s="110">
        <v>0</v>
      </c>
      <c r="F169" s="110">
        <v>0</v>
      </c>
      <c r="G169" s="110">
        <v>0</v>
      </c>
      <c r="H169" s="110">
        <v>0</v>
      </c>
      <c r="I169" s="110">
        <v>0</v>
      </c>
      <c r="J169" s="110">
        <v>0</v>
      </c>
      <c r="K169" s="110">
        <v>0</v>
      </c>
      <c r="L169" s="110">
        <v>0</v>
      </c>
      <c r="M169" s="110">
        <v>0</v>
      </c>
      <c r="N169" s="110">
        <v>0</v>
      </c>
      <c r="O169" s="110">
        <v>0</v>
      </c>
      <c r="P169" s="110">
        <v>0</v>
      </c>
      <c r="Q169" s="110">
        <v>0</v>
      </c>
      <c r="R169" s="110">
        <v>0</v>
      </c>
      <c r="S169" s="110">
        <v>0</v>
      </c>
      <c r="T169" s="110">
        <v>0</v>
      </c>
      <c r="V169" s="209" t="s">
        <v>116</v>
      </c>
      <c r="W169" s="110">
        <v>0</v>
      </c>
      <c r="X169" s="110">
        <f>+[33]EEFF_Vías_Chi!Y169</f>
        <v>0</v>
      </c>
    </row>
    <row r="170" spans="2:24" ht="15">
      <c r="B170" s="181" t="s">
        <v>91</v>
      </c>
      <c r="C170" s="186">
        <v>157740</v>
      </c>
      <c r="D170" s="186">
        <v>128898</v>
      </c>
      <c r="E170" s="186">
        <v>123116</v>
      </c>
      <c r="F170" s="186">
        <v>121420</v>
      </c>
      <c r="G170" s="186">
        <v>104763</v>
      </c>
      <c r="H170" s="186">
        <v>104045</v>
      </c>
      <c r="I170" s="186">
        <v>93605</v>
      </c>
      <c r="J170" s="186">
        <v>93323</v>
      </c>
      <c r="K170" s="186">
        <v>73844</v>
      </c>
      <c r="L170" s="186">
        <v>75056</v>
      </c>
      <c r="M170" s="186">
        <v>60953</v>
      </c>
      <c r="N170" s="186">
        <v>58709</v>
      </c>
      <c r="O170" s="186">
        <v>36054</v>
      </c>
      <c r="P170" s="186">
        <f>SUM(P163:P169)</f>
        <v>37923.502788999998</v>
      </c>
      <c r="Q170" s="186">
        <f>SUM(Q163:Q169)</f>
        <v>56235.434751000008</v>
      </c>
      <c r="R170" s="186">
        <v>70422</v>
      </c>
      <c r="S170" s="186">
        <v>58094</v>
      </c>
      <c r="T170" s="186">
        <v>60132.802974999999</v>
      </c>
      <c r="V170" s="181" t="s">
        <v>91</v>
      </c>
      <c r="W170" s="661">
        <v>24982.984815</v>
      </c>
      <c r="X170" s="661">
        <f>+[33]EEFF_Vías_Chi!Y170</f>
        <v>26918.889534000002</v>
      </c>
    </row>
    <row r="171" spans="2:24" ht="15">
      <c r="B171" s="132" t="s">
        <v>92</v>
      </c>
      <c r="C171" s="185">
        <v>192035</v>
      </c>
      <c r="D171" s="185">
        <v>170424</v>
      </c>
      <c r="E171" s="185">
        <v>158394</v>
      </c>
      <c r="F171" s="185">
        <v>158327</v>
      </c>
      <c r="G171" s="185">
        <v>141952</v>
      </c>
      <c r="H171" s="185">
        <v>143122</v>
      </c>
      <c r="I171" s="185">
        <v>130970</v>
      </c>
      <c r="J171" s="185">
        <v>134472</v>
      </c>
      <c r="K171" s="185">
        <v>115562</v>
      </c>
      <c r="L171" s="185">
        <v>119724</v>
      </c>
      <c r="M171" s="185">
        <v>105642</v>
      </c>
      <c r="N171" s="185">
        <v>103216</v>
      </c>
      <c r="O171" s="185">
        <v>83104</v>
      </c>
      <c r="P171" s="185">
        <f>+P161+P170</f>
        <v>88526.009205999988</v>
      </c>
      <c r="Q171" s="185">
        <f>+Q161+Q170</f>
        <v>82235.371012000003</v>
      </c>
      <c r="R171" s="185">
        <v>99386</v>
      </c>
      <c r="S171" s="185">
        <v>90696</v>
      </c>
      <c r="T171" s="185">
        <v>95527.632446999996</v>
      </c>
      <c r="V171" s="132" t="s">
        <v>92</v>
      </c>
      <c r="W171" s="659">
        <v>67169.599808999992</v>
      </c>
      <c r="X171" s="659">
        <f>+[33]EEFF_Vías_Chi!Y171</f>
        <v>78460.632528999995</v>
      </c>
    </row>
    <row r="172" spans="2:24" ht="15">
      <c r="B172" s="134"/>
      <c r="C172" s="187"/>
      <c r="D172" s="187"/>
      <c r="E172" s="187"/>
      <c r="F172" s="187"/>
      <c r="G172" s="187"/>
      <c r="H172" s="187"/>
      <c r="I172" s="187"/>
      <c r="J172" s="187"/>
      <c r="K172" s="187"/>
      <c r="L172" s="187"/>
      <c r="M172" s="187"/>
      <c r="N172" s="187"/>
      <c r="O172" s="187"/>
      <c r="P172" s="187"/>
      <c r="Q172" s="187"/>
      <c r="R172" s="187"/>
      <c r="S172" s="187">
        <v>0</v>
      </c>
      <c r="T172" s="187"/>
      <c r="V172" s="134"/>
      <c r="W172" s="663"/>
      <c r="X172" s="663">
        <f>+[33]EEFF_Vías_Chi!Y172</f>
        <v>0</v>
      </c>
    </row>
    <row r="173" spans="2:24" ht="15">
      <c r="B173" s="191" t="s">
        <v>93</v>
      </c>
      <c r="C173" s="192"/>
      <c r="D173" s="192"/>
      <c r="E173" s="192"/>
      <c r="F173" s="192"/>
      <c r="G173" s="192"/>
      <c r="H173" s="192"/>
      <c r="I173" s="192"/>
      <c r="J173" s="192"/>
      <c r="K173" s="192"/>
      <c r="L173" s="192"/>
      <c r="M173" s="192"/>
      <c r="N173" s="192"/>
      <c r="O173" s="192"/>
      <c r="P173" s="192"/>
      <c r="Q173" s="192"/>
      <c r="R173" s="192"/>
      <c r="S173" s="192"/>
      <c r="T173" s="192"/>
      <c r="V173" s="191" t="s">
        <v>93</v>
      </c>
      <c r="W173" s="662"/>
      <c r="X173" s="662">
        <f>+[33]EEFF_Vías_Chi!Y173</f>
        <v>0</v>
      </c>
    </row>
    <row r="174" spans="2:24" ht="15.5">
      <c r="B174" s="209" t="s">
        <v>94</v>
      </c>
      <c r="C174" s="110">
        <v>48963</v>
      </c>
      <c r="D174" s="110">
        <v>48963</v>
      </c>
      <c r="E174" s="110">
        <v>48963</v>
      </c>
      <c r="F174" s="110">
        <v>48963</v>
      </c>
      <c r="G174" s="110">
        <v>48963</v>
      </c>
      <c r="H174" s="110">
        <v>48963</v>
      </c>
      <c r="I174" s="110">
        <v>48963</v>
      </c>
      <c r="J174" s="110">
        <v>48963</v>
      </c>
      <c r="K174" s="110">
        <v>48963</v>
      </c>
      <c r="L174" s="110">
        <v>48963</v>
      </c>
      <c r="M174" s="110">
        <v>48963</v>
      </c>
      <c r="N174" s="110">
        <v>48963</v>
      </c>
      <c r="O174" s="110">
        <v>48963</v>
      </c>
      <c r="P174" s="110">
        <v>48962.667104</v>
      </c>
      <c r="Q174" s="110">
        <v>48962.667104</v>
      </c>
      <c r="R174" s="110">
        <v>48962.667104</v>
      </c>
      <c r="S174" s="110">
        <v>48962.667104</v>
      </c>
      <c r="T174" s="110">
        <v>48962.667104</v>
      </c>
      <c r="V174" s="209" t="s">
        <v>94</v>
      </c>
      <c r="W174" s="110">
        <v>48962.667104</v>
      </c>
      <c r="X174" s="110">
        <f>+[33]EEFF_Vías_Chi!Y174</f>
        <v>48962.667104</v>
      </c>
    </row>
    <row r="175" spans="2:24" ht="15.5">
      <c r="B175" s="209" t="s">
        <v>95</v>
      </c>
      <c r="C175" s="110">
        <v>0</v>
      </c>
      <c r="D175" s="110">
        <v>0</v>
      </c>
      <c r="E175" s="110">
        <v>0</v>
      </c>
      <c r="F175" s="110">
        <v>0</v>
      </c>
      <c r="G175" s="110">
        <v>0</v>
      </c>
      <c r="H175" s="110">
        <v>0</v>
      </c>
      <c r="I175" s="110">
        <v>0</v>
      </c>
      <c r="J175" s="110">
        <v>0</v>
      </c>
      <c r="K175" s="110">
        <v>0</v>
      </c>
      <c r="L175" s="110">
        <v>0</v>
      </c>
      <c r="M175" s="110">
        <v>0</v>
      </c>
      <c r="N175" s="110">
        <v>0</v>
      </c>
      <c r="O175" s="110">
        <v>0</v>
      </c>
      <c r="P175" s="110">
        <v>0</v>
      </c>
      <c r="Q175" s="110">
        <v>0</v>
      </c>
      <c r="R175" s="110">
        <v>0</v>
      </c>
      <c r="S175" s="110">
        <v>0</v>
      </c>
      <c r="T175" s="110">
        <v>0</v>
      </c>
      <c r="V175" s="209" t="s">
        <v>95</v>
      </c>
      <c r="W175" s="110">
        <v>0</v>
      </c>
      <c r="X175" s="110">
        <f>+[33]EEFF_Vías_Chi!Y175</f>
        <v>0</v>
      </c>
    </row>
    <row r="176" spans="2:24" ht="15.5">
      <c r="B176" s="209" t="s">
        <v>96</v>
      </c>
      <c r="C176" s="110">
        <v>0</v>
      </c>
      <c r="D176" s="110">
        <v>0</v>
      </c>
      <c r="E176" s="110">
        <v>0</v>
      </c>
      <c r="F176" s="110">
        <v>0</v>
      </c>
      <c r="G176" s="110">
        <v>0</v>
      </c>
      <c r="H176" s="110">
        <v>0</v>
      </c>
      <c r="I176" s="110">
        <v>0</v>
      </c>
      <c r="J176" s="110">
        <v>0</v>
      </c>
      <c r="K176" s="110">
        <v>0</v>
      </c>
      <c r="L176" s="110">
        <v>0</v>
      </c>
      <c r="M176" s="110">
        <v>0</v>
      </c>
      <c r="N176" s="110">
        <v>0</v>
      </c>
      <c r="O176" s="110">
        <v>0</v>
      </c>
      <c r="P176" s="110">
        <v>0</v>
      </c>
      <c r="Q176" s="110">
        <v>0</v>
      </c>
      <c r="R176" s="110">
        <v>0</v>
      </c>
      <c r="S176" s="110">
        <v>0</v>
      </c>
      <c r="T176" s="110">
        <v>0</v>
      </c>
      <c r="V176" s="209" t="s">
        <v>96</v>
      </c>
      <c r="W176" s="110">
        <v>0</v>
      </c>
      <c r="X176" s="110">
        <f>+[33]EEFF_Vías_Chi!Y176</f>
        <v>0</v>
      </c>
    </row>
    <row r="177" spans="2:24" ht="15.5">
      <c r="B177" s="209" t="s">
        <v>97</v>
      </c>
      <c r="C177" s="110">
        <v>16995</v>
      </c>
      <c r="D177" s="110">
        <v>24123</v>
      </c>
      <c r="E177" s="110">
        <v>30598</v>
      </c>
      <c r="F177" s="110">
        <v>30598</v>
      </c>
      <c r="G177" s="110">
        <v>30598</v>
      </c>
      <c r="H177" s="110">
        <v>30598</v>
      </c>
      <c r="I177" s="110">
        <v>36648</v>
      </c>
      <c r="J177" s="110">
        <v>28350</v>
      </c>
      <c r="K177" s="110">
        <v>28350</v>
      </c>
      <c r="L177" s="110">
        <v>28350</v>
      </c>
      <c r="M177" s="110">
        <v>35436</v>
      </c>
      <c r="N177" s="110">
        <v>35436</v>
      </c>
      <c r="O177" s="110">
        <v>35436</v>
      </c>
      <c r="P177" s="110">
        <v>35436.462811999998</v>
      </c>
      <c r="Q177" s="110">
        <v>39921.578642</v>
      </c>
      <c r="R177" s="110">
        <v>10335</v>
      </c>
      <c r="S177" s="110">
        <v>10335</v>
      </c>
      <c r="T177" s="110">
        <v>10335.008642000001</v>
      </c>
      <c r="V177" s="209" t="s">
        <v>97</v>
      </c>
      <c r="W177" s="110">
        <v>17192.759785999999</v>
      </c>
      <c r="X177" s="110">
        <f>+[33]EEFF_Vías_Chi!Y177</f>
        <v>12301.808786</v>
      </c>
    </row>
    <row r="178" spans="2:24" ht="15.5">
      <c r="B178" s="209" t="s">
        <v>98</v>
      </c>
      <c r="C178" s="110">
        <v>7128</v>
      </c>
      <c r="D178" s="110">
        <v>6475</v>
      </c>
      <c r="E178" s="110">
        <v>1679</v>
      </c>
      <c r="F178" s="110">
        <v>3109</v>
      </c>
      <c r="G178" s="110">
        <v>4497</v>
      </c>
      <c r="H178" s="110">
        <v>6049</v>
      </c>
      <c r="I178" s="110">
        <v>1548</v>
      </c>
      <c r="J178" s="110">
        <v>3760</v>
      </c>
      <c r="K178" s="110">
        <v>5455</v>
      </c>
      <c r="L178" s="110">
        <v>7086</v>
      </c>
      <c r="M178" s="110">
        <v>1550</v>
      </c>
      <c r="N178" s="110">
        <v>2549</v>
      </c>
      <c r="O178" s="110">
        <v>3205</v>
      </c>
      <c r="P178" s="110">
        <v>4485.1158299999997</v>
      </c>
      <c r="Q178" s="110">
        <v>1022.546861</v>
      </c>
      <c r="R178" s="110">
        <v>2823</v>
      </c>
      <c r="S178" s="110">
        <v>5028</v>
      </c>
      <c r="T178" s="110">
        <v>7437.8651440000003</v>
      </c>
      <c r="V178" s="209" t="s">
        <v>98</v>
      </c>
      <c r="W178" s="110">
        <v>1052.0275019999999</v>
      </c>
      <c r="X178" s="110">
        <f>+[33]EEFF_Vías_Chi!Y178</f>
        <v>4932.8525529999997</v>
      </c>
    </row>
    <row r="179" spans="2:24" ht="15.5">
      <c r="B179" s="209" t="s">
        <v>99</v>
      </c>
      <c r="C179" s="110">
        <v>0</v>
      </c>
      <c r="D179" s="110">
        <v>0</v>
      </c>
      <c r="E179" s="110">
        <v>0</v>
      </c>
      <c r="F179" s="110">
        <v>0</v>
      </c>
      <c r="G179" s="110">
        <v>0</v>
      </c>
      <c r="H179" s="110">
        <v>0</v>
      </c>
      <c r="I179" s="110">
        <v>0</v>
      </c>
      <c r="J179" s="110">
        <v>0</v>
      </c>
      <c r="K179" s="110">
        <v>0</v>
      </c>
      <c r="L179" s="110">
        <v>0</v>
      </c>
      <c r="M179" s="110">
        <v>0</v>
      </c>
      <c r="N179" s="110">
        <v>0</v>
      </c>
      <c r="O179" s="110">
        <v>0</v>
      </c>
      <c r="P179" s="110">
        <v>0</v>
      </c>
      <c r="Q179" s="110">
        <v>0</v>
      </c>
      <c r="R179" s="110">
        <v>0</v>
      </c>
      <c r="S179" s="110">
        <v>0</v>
      </c>
      <c r="T179" s="110">
        <v>0</v>
      </c>
      <c r="V179" s="209" t="s">
        <v>99</v>
      </c>
      <c r="W179" s="110">
        <v>0</v>
      </c>
      <c r="X179" s="110">
        <f>+[33]EEFF_Vías_Chi!Y179</f>
        <v>0</v>
      </c>
    </row>
    <row r="180" spans="2:24" ht="15">
      <c r="B180" s="181" t="s">
        <v>102</v>
      </c>
      <c r="C180" s="186">
        <v>73086</v>
      </c>
      <c r="D180" s="186">
        <v>79561</v>
      </c>
      <c r="E180" s="186">
        <v>81240</v>
      </c>
      <c r="F180" s="186">
        <v>82670</v>
      </c>
      <c r="G180" s="186">
        <v>84058</v>
      </c>
      <c r="H180" s="186">
        <v>85610</v>
      </c>
      <c r="I180" s="186">
        <v>87159</v>
      </c>
      <c r="J180" s="186">
        <v>81073</v>
      </c>
      <c r="K180" s="186">
        <v>82768</v>
      </c>
      <c r="L180" s="186">
        <v>84399</v>
      </c>
      <c r="M180" s="186">
        <v>85949</v>
      </c>
      <c r="N180" s="186">
        <v>86948</v>
      </c>
      <c r="O180" s="186">
        <v>87604</v>
      </c>
      <c r="P180" s="186">
        <f>SUM(P174:P179)</f>
        <v>88884.245746000001</v>
      </c>
      <c r="Q180" s="186">
        <f>SUM(Q174:Q179)</f>
        <v>89906.792606999996</v>
      </c>
      <c r="R180" s="186">
        <v>62120.667104</v>
      </c>
      <c r="S180" s="186">
        <v>64325.667104</v>
      </c>
      <c r="T180" s="186">
        <v>66735.540890000004</v>
      </c>
      <c r="V180" s="181" t="s">
        <v>102</v>
      </c>
      <c r="W180" s="661">
        <v>67207.454392</v>
      </c>
      <c r="X180" s="661">
        <f>+[33]EEFF_Vías_Chi!Y180</f>
        <v>66197.328443000006</v>
      </c>
    </row>
    <row r="181" spans="2:24" ht="15">
      <c r="B181" s="132" t="s">
        <v>103</v>
      </c>
      <c r="C181" s="185">
        <v>265121</v>
      </c>
      <c r="D181" s="185">
        <v>249985</v>
      </c>
      <c r="E181" s="185">
        <v>239634</v>
      </c>
      <c r="F181" s="185">
        <v>240997</v>
      </c>
      <c r="G181" s="185">
        <v>226010</v>
      </c>
      <c r="H181" s="185">
        <v>228732</v>
      </c>
      <c r="I181" s="185">
        <v>218129</v>
      </c>
      <c r="J181" s="185">
        <v>215545</v>
      </c>
      <c r="K181" s="185">
        <v>198330</v>
      </c>
      <c r="L181" s="185">
        <v>204123</v>
      </c>
      <c r="M181" s="185">
        <v>191591</v>
      </c>
      <c r="N181" s="185">
        <v>190164</v>
      </c>
      <c r="O181" s="185">
        <v>170708</v>
      </c>
      <c r="P181" s="185">
        <f>+P171+P180</f>
        <v>177410.25495199999</v>
      </c>
      <c r="Q181" s="185">
        <f>+Q171+Q180</f>
        <v>172142.163619</v>
      </c>
      <c r="R181" s="185">
        <v>161506.66710399999</v>
      </c>
      <c r="S181" s="185">
        <v>155021.66710399999</v>
      </c>
      <c r="T181" s="185">
        <v>162263.17333700001</v>
      </c>
      <c r="V181" s="132" t="s">
        <v>103</v>
      </c>
      <c r="W181" s="659">
        <v>134377.05420099999</v>
      </c>
      <c r="X181" s="659">
        <f>+[33]EEFF_Vías_Chi!Y181</f>
        <v>144657.960972</v>
      </c>
    </row>
    <row r="182" spans="2:24" ht="15.5">
      <c r="B182" s="143"/>
      <c r="C182" s="210">
        <v>0</v>
      </c>
      <c r="D182" s="210">
        <v>0</v>
      </c>
      <c r="E182" s="210">
        <v>0</v>
      </c>
      <c r="F182" s="210">
        <v>0</v>
      </c>
      <c r="G182" s="210">
        <v>0</v>
      </c>
      <c r="H182" s="210">
        <v>0</v>
      </c>
      <c r="I182" s="210">
        <v>0</v>
      </c>
      <c r="J182" s="210">
        <v>0</v>
      </c>
      <c r="K182" s="210">
        <v>0</v>
      </c>
      <c r="L182" s="210">
        <v>0</v>
      </c>
      <c r="M182" s="210">
        <v>0</v>
      </c>
      <c r="N182" s="210">
        <v>0</v>
      </c>
      <c r="O182" s="210"/>
      <c r="P182" s="46"/>
      <c r="Q182" s="46"/>
      <c r="R182" s="568"/>
      <c r="S182" s="568"/>
      <c r="T182" s="568"/>
      <c r="V182" s="46"/>
      <c r="W182" s="653"/>
      <c r="X182" s="653"/>
    </row>
    <row r="183" spans="2:24" ht="15.5">
      <c r="B183" s="143"/>
      <c r="C183" s="143"/>
      <c r="D183" s="143"/>
      <c r="E183" s="143"/>
      <c r="F183" s="143"/>
      <c r="G183" s="143"/>
      <c r="H183" s="143"/>
      <c r="I183" s="143"/>
      <c r="J183" s="143"/>
      <c r="K183" s="143"/>
      <c r="L183" s="143"/>
      <c r="M183" s="143"/>
      <c r="N183" s="143"/>
      <c r="O183" s="143"/>
      <c r="P183" s="46"/>
      <c r="Q183" s="46"/>
      <c r="V183" s="46"/>
      <c r="W183" s="653"/>
      <c r="X183" s="653"/>
    </row>
    <row r="184" spans="2:24" ht="15.5">
      <c r="B184" s="62" t="s">
        <v>362</v>
      </c>
      <c r="C184" s="33"/>
      <c r="D184" s="33"/>
      <c r="E184" s="34"/>
      <c r="F184" s="33"/>
      <c r="G184" s="33"/>
      <c r="H184" s="33"/>
      <c r="I184" s="34"/>
      <c r="J184" s="33"/>
      <c r="K184" s="33"/>
      <c r="L184" s="33"/>
      <c r="M184" s="34"/>
      <c r="N184" s="33"/>
      <c r="O184" s="33"/>
      <c r="P184" s="46"/>
      <c r="Q184" s="46"/>
      <c r="V184" s="46"/>
      <c r="W184" s="653"/>
      <c r="X184" s="653"/>
    </row>
    <row r="185" spans="2:24" ht="15.5">
      <c r="B185" s="165" t="s">
        <v>356</v>
      </c>
      <c r="C185" s="143"/>
      <c r="D185" s="143"/>
      <c r="E185" s="143"/>
      <c r="F185" s="143"/>
      <c r="G185" s="143"/>
      <c r="H185" s="143"/>
      <c r="I185" s="143"/>
      <c r="J185" s="143"/>
      <c r="K185" s="143"/>
      <c r="L185" s="143"/>
      <c r="M185" s="143"/>
      <c r="N185" s="143"/>
      <c r="O185" s="143"/>
      <c r="P185" s="46"/>
      <c r="Q185" s="46"/>
      <c r="V185" s="46"/>
      <c r="W185" s="653"/>
      <c r="X185" s="653"/>
    </row>
    <row r="186" spans="2:24" ht="9" customHeight="1">
      <c r="B186" s="35"/>
      <c r="C186" s="35"/>
      <c r="D186" s="35"/>
      <c r="E186" s="35"/>
      <c r="F186" s="35"/>
      <c r="G186" s="35"/>
      <c r="H186" s="35"/>
      <c r="I186" s="35"/>
      <c r="J186" s="35"/>
      <c r="K186" s="35"/>
      <c r="L186" s="35"/>
      <c r="M186" s="35"/>
      <c r="N186" s="35"/>
      <c r="O186" s="35"/>
      <c r="P186" s="46"/>
      <c r="Q186" s="46"/>
      <c r="V186" s="46"/>
      <c r="W186" s="653"/>
      <c r="X186" s="653"/>
    </row>
    <row r="187" spans="2:24" ht="15">
      <c r="B187" s="148"/>
      <c r="C187" s="149">
        <v>2016</v>
      </c>
      <c r="D187" s="149">
        <v>2017</v>
      </c>
      <c r="E187" s="149" t="s">
        <v>19</v>
      </c>
      <c r="F187" s="149" t="s">
        <v>20</v>
      </c>
      <c r="G187" s="149" t="s">
        <v>21</v>
      </c>
      <c r="H187" s="149" t="s">
        <v>22</v>
      </c>
      <c r="I187" s="149" t="s">
        <v>23</v>
      </c>
      <c r="J187" s="149" t="s">
        <v>24</v>
      </c>
      <c r="K187" s="149" t="s">
        <v>25</v>
      </c>
      <c r="L187" s="149" t="s">
        <v>26</v>
      </c>
      <c r="M187" s="149" t="s">
        <v>27</v>
      </c>
      <c r="N187" s="149" t="s">
        <v>28</v>
      </c>
      <c r="O187" s="149" t="s">
        <v>29</v>
      </c>
      <c r="P187" s="340" t="s">
        <v>722</v>
      </c>
      <c r="Q187" s="340" t="s">
        <v>739</v>
      </c>
      <c r="R187" s="340" t="s">
        <v>912</v>
      </c>
      <c r="S187" s="340" t="s">
        <v>1051</v>
      </c>
      <c r="T187" s="340" t="s">
        <v>1089</v>
      </c>
      <c r="V187" s="282"/>
      <c r="W187" s="654" t="s">
        <v>1109</v>
      </c>
      <c r="X187" s="654" t="s">
        <v>1190</v>
      </c>
    </row>
    <row r="188" spans="2:24" ht="10.5" customHeight="1">
      <c r="B188" s="150"/>
      <c r="C188" s="35"/>
      <c r="D188" s="35"/>
      <c r="E188" s="35"/>
      <c r="F188" s="35"/>
      <c r="G188" s="35"/>
      <c r="H188" s="35"/>
      <c r="I188" s="35"/>
      <c r="J188" s="35"/>
      <c r="K188" s="35"/>
      <c r="L188" s="35"/>
      <c r="M188" s="35"/>
      <c r="N188" s="35"/>
      <c r="O188" s="35"/>
      <c r="P188" s="46"/>
      <c r="Q188" s="46"/>
      <c r="T188" s="46"/>
      <c r="V188" s="46"/>
      <c r="W188" s="653"/>
      <c r="X188" s="653"/>
    </row>
    <row r="189" spans="2:24" ht="15.5">
      <c r="B189" s="83" t="s">
        <v>30</v>
      </c>
      <c r="C189" s="118">
        <v>383</v>
      </c>
      <c r="D189" s="118">
        <v>1005</v>
      </c>
      <c r="E189" s="118">
        <v>748</v>
      </c>
      <c r="F189" s="118">
        <v>-38</v>
      </c>
      <c r="G189" s="118">
        <v>197</v>
      </c>
      <c r="H189" s="118">
        <v>724</v>
      </c>
      <c r="I189" s="118">
        <v>419</v>
      </c>
      <c r="J189" s="118">
        <v>864</v>
      </c>
      <c r="K189" s="118">
        <v>1489</v>
      </c>
      <c r="L189" s="118">
        <v>2935</v>
      </c>
      <c r="M189" s="118">
        <v>1315</v>
      </c>
      <c r="N189" s="118">
        <v>-415</v>
      </c>
      <c r="O189" s="118">
        <v>663</v>
      </c>
      <c r="P189" s="118">
        <v>2357.4359569999997</v>
      </c>
      <c r="Q189" s="118">
        <v>8400.3664900000003</v>
      </c>
      <c r="R189" s="118">
        <v>7859.6335099999997</v>
      </c>
      <c r="S189" s="118">
        <v>10250</v>
      </c>
      <c r="T189" s="118">
        <v>13881.071025999998</v>
      </c>
      <c r="V189" s="83" t="s">
        <v>30</v>
      </c>
      <c r="W189" s="118">
        <v>4015.4887669999998</v>
      </c>
      <c r="X189" s="118">
        <f>+[33]EEFF_Vías_Chi!Y189</f>
        <v>1536.1693649999997</v>
      </c>
    </row>
    <row r="190" spans="2:24" ht="15.5">
      <c r="B190" s="83" t="s">
        <v>31</v>
      </c>
      <c r="C190" s="118">
        <v>339</v>
      </c>
      <c r="D190" s="118">
        <v>890</v>
      </c>
      <c r="E190" s="118">
        <v>662</v>
      </c>
      <c r="F190" s="118">
        <v>-34</v>
      </c>
      <c r="G190" s="118">
        <v>174</v>
      </c>
      <c r="H190" s="118">
        <v>642</v>
      </c>
      <c r="I190" s="118">
        <v>371</v>
      </c>
      <c r="J190" s="118">
        <v>765</v>
      </c>
      <c r="K190" s="118">
        <v>1317</v>
      </c>
      <c r="L190" s="118">
        <v>2597</v>
      </c>
      <c r="M190" s="118">
        <v>1144</v>
      </c>
      <c r="N190" s="118">
        <v>-361</v>
      </c>
      <c r="O190" s="118">
        <v>576</v>
      </c>
      <c r="P190" s="118">
        <v>2049.9443110000002</v>
      </c>
      <c r="Q190" s="118">
        <v>7304.6665130000001</v>
      </c>
      <c r="R190" s="118">
        <v>6834.3334869999999</v>
      </c>
      <c r="S190" s="118">
        <v>8913</v>
      </c>
      <c r="T190" s="118">
        <v>12070.670454999999</v>
      </c>
      <c r="V190" s="83" t="s">
        <v>31</v>
      </c>
      <c r="W190" s="118">
        <v>3491.729362</v>
      </c>
      <c r="X190" s="118">
        <f>+[33]EEFF_Vías_Chi!Y190</f>
        <v>6834.0591069999991</v>
      </c>
    </row>
    <row r="191" spans="2:24" ht="15.5">
      <c r="B191" s="142" t="s">
        <v>32</v>
      </c>
      <c r="C191" s="151">
        <v>44</v>
      </c>
      <c r="D191" s="151">
        <v>115</v>
      </c>
      <c r="E191" s="151">
        <v>86</v>
      </c>
      <c r="F191" s="151">
        <v>-4</v>
      </c>
      <c r="G191" s="151">
        <v>23</v>
      </c>
      <c r="H191" s="151">
        <v>82</v>
      </c>
      <c r="I191" s="151">
        <v>48</v>
      </c>
      <c r="J191" s="151">
        <v>99</v>
      </c>
      <c r="K191" s="151">
        <v>172</v>
      </c>
      <c r="L191" s="151">
        <v>338</v>
      </c>
      <c r="M191" s="151">
        <v>171</v>
      </c>
      <c r="N191" s="151">
        <v>-54</v>
      </c>
      <c r="O191" s="151">
        <v>87</v>
      </c>
      <c r="P191" s="151">
        <v>307.49164599999949</v>
      </c>
      <c r="Q191" s="151">
        <f>+Q189-Q190</f>
        <v>1095.6999770000002</v>
      </c>
      <c r="R191" s="151">
        <v>1025.3000229999998</v>
      </c>
      <c r="S191" s="151">
        <v>1337</v>
      </c>
      <c r="T191" s="151">
        <v>1810.4005709999983</v>
      </c>
      <c r="V191" s="142" t="s">
        <v>1129</v>
      </c>
      <c r="W191" s="151">
        <v>523.75940499999979</v>
      </c>
      <c r="X191" s="151">
        <f>+[33]EEFF_Vías_Chi!Y191</f>
        <v>-5297.8897419999994</v>
      </c>
    </row>
    <row r="192" spans="2:24" ht="6" customHeight="1">
      <c r="B192" s="83"/>
      <c r="C192" s="118"/>
      <c r="D192" s="118"/>
      <c r="E192" s="118"/>
      <c r="F192" s="118"/>
      <c r="G192" s="118"/>
      <c r="H192" s="118"/>
      <c r="I192" s="118"/>
      <c r="J192" s="118"/>
      <c r="K192" s="118"/>
      <c r="L192" s="118"/>
      <c r="M192" s="118"/>
      <c r="N192" s="118"/>
      <c r="O192" s="118"/>
      <c r="P192" s="118"/>
      <c r="Q192" s="118"/>
      <c r="R192" s="118"/>
      <c r="S192" s="118">
        <v>0</v>
      </c>
      <c r="T192" s="118"/>
      <c r="V192" s="46"/>
      <c r="W192" s="118"/>
      <c r="X192" s="118">
        <f>+[33]EEFF_Vías_Chi!Y192</f>
        <v>0</v>
      </c>
    </row>
    <row r="193" spans="2:24" ht="15.5">
      <c r="B193" s="83" t="s">
        <v>357</v>
      </c>
      <c r="C193" s="118">
        <v>10664</v>
      </c>
      <c r="D193" s="118">
        <v>10246</v>
      </c>
      <c r="E193" s="118">
        <v>2224</v>
      </c>
      <c r="F193" s="118">
        <v>3748</v>
      </c>
      <c r="G193" s="118">
        <v>2523</v>
      </c>
      <c r="H193" s="118">
        <v>3182</v>
      </c>
      <c r="I193" s="118">
        <v>2386</v>
      </c>
      <c r="J193" s="118">
        <v>3286</v>
      </c>
      <c r="K193" s="118">
        <v>2868</v>
      </c>
      <c r="L193" s="118">
        <v>2949</v>
      </c>
      <c r="M193" s="118">
        <v>2449</v>
      </c>
      <c r="N193" s="118">
        <v>2918</v>
      </c>
      <c r="O193" s="118">
        <v>2295</v>
      </c>
      <c r="P193" s="118">
        <v>4855.760319</v>
      </c>
      <c r="Q193" s="118">
        <v>3072.7667430000001</v>
      </c>
      <c r="R193" s="118">
        <v>2283.2332569999999</v>
      </c>
      <c r="S193" s="118">
        <v>2390</v>
      </c>
      <c r="T193" s="118">
        <v>5669.2040969999998</v>
      </c>
      <c r="V193" s="83" t="s">
        <v>357</v>
      </c>
      <c r="W193" s="118">
        <v>4689.0219809999999</v>
      </c>
      <c r="X193" s="118">
        <f>+[33]EEFF_Vías_Chi!Y193</f>
        <v>2843.8022010000004</v>
      </c>
    </row>
    <row r="194" spans="2:24" ht="15.5">
      <c r="B194" s="83" t="s">
        <v>358</v>
      </c>
      <c r="C194" s="118">
        <v>15218</v>
      </c>
      <c r="D194" s="118">
        <v>14624</v>
      </c>
      <c r="E194" s="118">
        <v>2197</v>
      </c>
      <c r="F194" s="118">
        <v>1986</v>
      </c>
      <c r="G194" s="118">
        <v>1774</v>
      </c>
      <c r="H194" s="118">
        <v>1575</v>
      </c>
      <c r="I194" s="118">
        <v>1606</v>
      </c>
      <c r="J194" s="118">
        <v>1416</v>
      </c>
      <c r="K194" s="118">
        <v>1423</v>
      </c>
      <c r="L194" s="118">
        <v>1147</v>
      </c>
      <c r="M194" s="118">
        <v>0</v>
      </c>
      <c r="N194" s="118">
        <v>0</v>
      </c>
      <c r="O194" s="118">
        <v>0</v>
      </c>
      <c r="P194" s="118">
        <v>1133.688717</v>
      </c>
      <c r="Q194" s="118">
        <v>0</v>
      </c>
      <c r="R194" s="118">
        <v>0</v>
      </c>
      <c r="S194" s="118">
        <v>244</v>
      </c>
      <c r="T194" s="118">
        <v>-244</v>
      </c>
      <c r="V194" s="83" t="s">
        <v>358</v>
      </c>
      <c r="W194" s="118">
        <v>0</v>
      </c>
      <c r="X194" s="118">
        <f>+[33]EEFF_Vías_Chi!Y194</f>
        <v>0</v>
      </c>
    </row>
    <row r="195" spans="2:24" ht="15.5">
      <c r="B195" s="83" t="s">
        <v>39</v>
      </c>
      <c r="C195" s="118">
        <v>0</v>
      </c>
      <c r="D195" s="118">
        <v>0</v>
      </c>
      <c r="E195" s="118">
        <v>0</v>
      </c>
      <c r="F195" s="118">
        <v>0</v>
      </c>
      <c r="G195" s="118">
        <v>0</v>
      </c>
      <c r="H195" s="118">
        <v>0</v>
      </c>
      <c r="I195" s="118">
        <v>0</v>
      </c>
      <c r="J195" s="118">
        <v>0</v>
      </c>
      <c r="K195" s="118">
        <v>0</v>
      </c>
      <c r="L195" s="118">
        <v>0</v>
      </c>
      <c r="M195" s="118">
        <v>0</v>
      </c>
      <c r="N195" s="118">
        <v>0</v>
      </c>
      <c r="O195" s="118">
        <v>0</v>
      </c>
      <c r="P195" s="118">
        <v>0</v>
      </c>
      <c r="Q195" s="118">
        <v>0</v>
      </c>
      <c r="R195" s="118">
        <v>0</v>
      </c>
      <c r="S195" s="118">
        <v>0</v>
      </c>
      <c r="T195" s="118">
        <v>0</v>
      </c>
      <c r="V195" s="83" t="s">
        <v>39</v>
      </c>
      <c r="W195" s="118">
        <v>0</v>
      </c>
      <c r="X195" s="118">
        <f>+[33]EEFF_Vías_Chi!Y195</f>
        <v>0</v>
      </c>
    </row>
    <row r="196" spans="2:24" ht="15.5">
      <c r="B196" s="83" t="s">
        <v>40</v>
      </c>
      <c r="C196" s="118">
        <v>10061</v>
      </c>
      <c r="D196" s="118">
        <v>9666</v>
      </c>
      <c r="E196" s="118">
        <v>2099</v>
      </c>
      <c r="F196" s="118">
        <v>3535</v>
      </c>
      <c r="G196" s="118">
        <v>2381</v>
      </c>
      <c r="H196" s="118">
        <v>3000</v>
      </c>
      <c r="I196" s="118">
        <v>2251</v>
      </c>
      <c r="J196" s="118">
        <v>3099</v>
      </c>
      <c r="K196" s="118">
        <v>2707</v>
      </c>
      <c r="L196" s="118">
        <v>2782</v>
      </c>
      <c r="M196" s="118">
        <v>2267</v>
      </c>
      <c r="N196" s="118">
        <v>2702</v>
      </c>
      <c r="O196" s="118">
        <v>2128</v>
      </c>
      <c r="P196" s="118">
        <v>4496.0743689999999</v>
      </c>
      <c r="Q196" s="118">
        <v>2845.1543919999999</v>
      </c>
      <c r="R196" s="118">
        <v>2112.8456080000001</v>
      </c>
      <c r="S196" s="118">
        <v>2214</v>
      </c>
      <c r="T196" s="118">
        <v>5249.4852729999984</v>
      </c>
      <c r="V196" s="83" t="s">
        <v>40</v>
      </c>
      <c r="W196" s="118">
        <v>4341.687019</v>
      </c>
      <c r="X196" s="118">
        <f>+[33]EEFF_Vías_Chi!Y196</f>
        <v>-2865.1117839999997</v>
      </c>
    </row>
    <row r="197" spans="2:24" ht="15.5">
      <c r="B197" s="142" t="s">
        <v>41</v>
      </c>
      <c r="C197" s="151">
        <v>15821</v>
      </c>
      <c r="D197" s="151">
        <v>15204</v>
      </c>
      <c r="E197" s="151">
        <v>2322</v>
      </c>
      <c r="F197" s="151">
        <v>2199</v>
      </c>
      <c r="G197" s="151">
        <v>1916</v>
      </c>
      <c r="H197" s="151">
        <v>1757</v>
      </c>
      <c r="I197" s="151">
        <v>1741</v>
      </c>
      <c r="J197" s="151">
        <v>1603</v>
      </c>
      <c r="K197" s="151">
        <v>1584</v>
      </c>
      <c r="L197" s="151">
        <v>1314</v>
      </c>
      <c r="M197" s="151">
        <v>182</v>
      </c>
      <c r="N197" s="151">
        <v>216</v>
      </c>
      <c r="O197" s="151">
        <v>167</v>
      </c>
      <c r="P197" s="151">
        <v>1493.374667</v>
      </c>
      <c r="Q197" s="151">
        <f>+Q193+Q194+Q195-Q196</f>
        <v>227.61235100000022</v>
      </c>
      <c r="R197" s="151">
        <v>170.38764899999978</v>
      </c>
      <c r="S197" s="151">
        <v>420</v>
      </c>
      <c r="T197" s="151">
        <v>175.7188240000014</v>
      </c>
      <c r="V197" s="83" t="s">
        <v>43</v>
      </c>
      <c r="W197" s="118">
        <v>39.943150000000003</v>
      </c>
      <c r="X197" s="118">
        <f>+[33]EEFF_Vías_Chi!Y197</f>
        <v>38.635010999999992</v>
      </c>
    </row>
    <row r="198" spans="2:24" ht="15.5">
      <c r="B198" s="85" t="s">
        <v>42</v>
      </c>
      <c r="C198" s="119">
        <v>15865</v>
      </c>
      <c r="D198" s="119">
        <v>15319</v>
      </c>
      <c r="E198" s="119">
        <v>2408</v>
      </c>
      <c r="F198" s="119">
        <v>2195</v>
      </c>
      <c r="G198" s="119">
        <v>1939</v>
      </c>
      <c r="H198" s="119">
        <v>1839</v>
      </c>
      <c r="I198" s="119">
        <v>1789</v>
      </c>
      <c r="J198" s="119">
        <v>1702</v>
      </c>
      <c r="K198" s="119">
        <v>1756</v>
      </c>
      <c r="L198" s="119">
        <v>1652</v>
      </c>
      <c r="M198" s="119">
        <v>353</v>
      </c>
      <c r="N198" s="119">
        <v>162</v>
      </c>
      <c r="O198" s="119">
        <v>254</v>
      </c>
      <c r="P198" s="119">
        <v>1800.8663129999995</v>
      </c>
      <c r="Q198" s="119">
        <f>+Q191+Q197</f>
        <v>1323.3123280000004</v>
      </c>
      <c r="R198" s="119">
        <v>1195.6876719999996</v>
      </c>
      <c r="S198" s="119">
        <v>1757</v>
      </c>
      <c r="T198" s="119">
        <v>1986.1193949999997</v>
      </c>
      <c r="V198" s="85" t="s">
        <v>1130</v>
      </c>
      <c r="W198" s="119">
        <v>831.15121699999963</v>
      </c>
      <c r="X198" s="119">
        <f>+[33]EEFF_Vías_Chi!Y198</f>
        <v>372.38923200000079</v>
      </c>
    </row>
    <row r="199" spans="2:24" ht="15.5">
      <c r="B199" s="82"/>
      <c r="C199" s="9"/>
      <c r="D199" s="9"/>
      <c r="E199" s="9"/>
      <c r="F199" s="178"/>
      <c r="G199" s="9"/>
      <c r="H199" s="9"/>
      <c r="I199" s="9"/>
      <c r="J199" s="9"/>
      <c r="K199" s="9"/>
      <c r="L199" s="9"/>
      <c r="M199" s="9"/>
      <c r="N199" s="9"/>
      <c r="O199" s="9"/>
      <c r="P199" s="9"/>
      <c r="Q199" s="9"/>
      <c r="R199" s="9"/>
      <c r="S199" s="9"/>
      <c r="T199" s="9"/>
      <c r="V199" s="46"/>
      <c r="W199" s="9"/>
      <c r="X199" s="9">
        <f>+[33]EEFF_Vías_Chi!Y199</f>
        <v>0</v>
      </c>
    </row>
    <row r="200" spans="2:24" ht="15.5">
      <c r="B200" s="83" t="s">
        <v>43</v>
      </c>
      <c r="C200" s="118">
        <v>70</v>
      </c>
      <c r="D200" s="118">
        <v>122</v>
      </c>
      <c r="E200" s="118">
        <v>37</v>
      </c>
      <c r="F200" s="118">
        <v>34</v>
      </c>
      <c r="G200" s="118">
        <v>36</v>
      </c>
      <c r="H200" s="118">
        <v>36</v>
      </c>
      <c r="I200" s="118">
        <v>110</v>
      </c>
      <c r="J200" s="118">
        <v>47</v>
      </c>
      <c r="K200" s="118">
        <v>46</v>
      </c>
      <c r="L200" s="118">
        <v>53</v>
      </c>
      <c r="M200" s="118">
        <v>52</v>
      </c>
      <c r="N200" s="118">
        <v>32</v>
      </c>
      <c r="O200" s="118">
        <v>45</v>
      </c>
      <c r="P200" s="118">
        <v>47.418841</v>
      </c>
      <c r="Q200" s="118">
        <v>46.731349000000002</v>
      </c>
      <c r="R200" s="118">
        <v>47.268650999999998</v>
      </c>
      <c r="S200" s="118">
        <v>48</v>
      </c>
      <c r="T200" s="118">
        <v>41.417477999999988</v>
      </c>
      <c r="V200" s="46"/>
      <c r="W200" s="118"/>
      <c r="X200" s="118">
        <f>+[33]EEFF_Vías_Chi!Y200</f>
        <v>0</v>
      </c>
    </row>
    <row r="201" spans="2:24" ht="15.5">
      <c r="B201" s="83" t="s">
        <v>44</v>
      </c>
      <c r="C201" s="118">
        <v>0</v>
      </c>
      <c r="D201" s="118">
        <v>0</v>
      </c>
      <c r="E201" s="118">
        <v>0</v>
      </c>
      <c r="F201" s="118">
        <v>0</v>
      </c>
      <c r="G201" s="118">
        <v>0</v>
      </c>
      <c r="H201" s="118">
        <v>0</v>
      </c>
      <c r="I201" s="118">
        <v>0</v>
      </c>
      <c r="J201" s="118">
        <v>0</v>
      </c>
      <c r="K201" s="118">
        <v>0</v>
      </c>
      <c r="L201" s="118">
        <v>0</v>
      </c>
      <c r="M201" s="118">
        <v>0</v>
      </c>
      <c r="N201" s="118">
        <v>0</v>
      </c>
      <c r="O201" s="118">
        <v>0</v>
      </c>
      <c r="P201" s="118"/>
      <c r="Q201" s="118"/>
      <c r="R201" s="118">
        <v>0</v>
      </c>
      <c r="S201" s="118">
        <v>0</v>
      </c>
      <c r="T201" s="118">
        <v>0</v>
      </c>
      <c r="V201" s="44" t="s">
        <v>44</v>
      </c>
      <c r="W201" s="118">
        <v>0</v>
      </c>
      <c r="X201" s="118">
        <f>+[33]EEFF_Vías_Chi!Y201</f>
        <v>0</v>
      </c>
    </row>
    <row r="202" spans="2:24" ht="15.5">
      <c r="B202" s="83" t="s">
        <v>45</v>
      </c>
      <c r="C202" s="118">
        <v>54</v>
      </c>
      <c r="D202" s="118">
        <v>65</v>
      </c>
      <c r="E202" s="118">
        <v>2</v>
      </c>
      <c r="F202" s="118">
        <v>0</v>
      </c>
      <c r="G202" s="118">
        <v>3</v>
      </c>
      <c r="H202" s="118">
        <v>-1</v>
      </c>
      <c r="I202" s="118">
        <v>13</v>
      </c>
      <c r="J202" s="118">
        <v>2</v>
      </c>
      <c r="K202" s="118">
        <v>96</v>
      </c>
      <c r="L202" s="118">
        <v>-263</v>
      </c>
      <c r="M202" s="118">
        <v>14</v>
      </c>
      <c r="N202" s="118">
        <v>-29</v>
      </c>
      <c r="O202" s="118">
        <v>57</v>
      </c>
      <c r="P202" s="118">
        <v>-9340.0712369999983</v>
      </c>
      <c r="Q202" s="118">
        <v>0.98660700000000001</v>
      </c>
      <c r="R202" s="118">
        <v>1.013393</v>
      </c>
      <c r="S202" s="118">
        <v>15</v>
      </c>
      <c r="T202" s="118">
        <v>-16.454898</v>
      </c>
      <c r="V202" s="44" t="s">
        <v>45</v>
      </c>
      <c r="W202" s="118">
        <v>274.86850299999998</v>
      </c>
      <c r="X202" s="118">
        <f>+[33]EEFF_Vías_Chi!Y202</f>
        <v>-99.239783999999986</v>
      </c>
    </row>
    <row r="203" spans="2:24" ht="15.5">
      <c r="B203" s="85" t="s">
        <v>46</v>
      </c>
      <c r="C203" s="120">
        <v>15849</v>
      </c>
      <c r="D203" s="120">
        <v>15262</v>
      </c>
      <c r="E203" s="120">
        <v>2373</v>
      </c>
      <c r="F203" s="120">
        <v>2161</v>
      </c>
      <c r="G203" s="120">
        <v>1906</v>
      </c>
      <c r="H203" s="120">
        <v>1802</v>
      </c>
      <c r="I203" s="120">
        <v>1692</v>
      </c>
      <c r="J203" s="120">
        <v>1657</v>
      </c>
      <c r="K203" s="120">
        <v>1806</v>
      </c>
      <c r="L203" s="120">
        <v>1336</v>
      </c>
      <c r="M203" s="120">
        <v>315</v>
      </c>
      <c r="N203" s="120">
        <v>101</v>
      </c>
      <c r="O203" s="120">
        <v>266</v>
      </c>
      <c r="P203" s="120">
        <v>-7586.6237649999985</v>
      </c>
      <c r="Q203" s="120">
        <f>+Q198-Q200+Q201+Q202</f>
        <v>1277.5675860000006</v>
      </c>
      <c r="R203" s="120">
        <v>1149.4324139999994</v>
      </c>
      <c r="S203" s="120">
        <v>1724</v>
      </c>
      <c r="T203" s="120">
        <v>1928.2470189999997</v>
      </c>
      <c r="V203" s="253" t="s">
        <v>46</v>
      </c>
      <c r="W203" s="120">
        <v>1106.0197199999996</v>
      </c>
      <c r="X203" s="120">
        <f>+[33]EEFF_Vías_Chi!Y203</f>
        <v>273.1494480000008</v>
      </c>
    </row>
    <row r="204" spans="2:24" ht="15.5">
      <c r="B204" s="83"/>
      <c r="C204" s="118"/>
      <c r="D204" s="118"/>
      <c r="E204" s="118"/>
      <c r="F204" s="118"/>
      <c r="G204" s="118"/>
      <c r="H204" s="118"/>
      <c r="I204" s="118"/>
      <c r="J204" s="118"/>
      <c r="K204" s="118"/>
      <c r="L204" s="118"/>
      <c r="M204" s="118"/>
      <c r="N204" s="118"/>
      <c r="O204" s="118"/>
      <c r="P204" s="118"/>
      <c r="Q204" s="118"/>
      <c r="R204" s="118"/>
      <c r="S204" s="118">
        <v>0</v>
      </c>
      <c r="T204" s="118"/>
      <c r="V204" s="44"/>
      <c r="W204" s="118"/>
      <c r="X204" s="118">
        <f>+[33]EEFF_Vías_Chi!Y204</f>
        <v>0</v>
      </c>
    </row>
    <row r="205" spans="2:24" ht="15.5">
      <c r="B205" s="83" t="s">
        <v>47</v>
      </c>
      <c r="C205" s="118">
        <v>-14451</v>
      </c>
      <c r="D205" s="118">
        <v>-11498</v>
      </c>
      <c r="E205" s="118">
        <v>-2618</v>
      </c>
      <c r="F205" s="118">
        <v>-2282</v>
      </c>
      <c r="G205" s="118">
        <v>-2297</v>
      </c>
      <c r="H205" s="118">
        <v>-1903</v>
      </c>
      <c r="I205" s="118">
        <v>-1752</v>
      </c>
      <c r="J205" s="118">
        <v>-1552</v>
      </c>
      <c r="K205" s="118">
        <v>-1168</v>
      </c>
      <c r="L205" s="118">
        <v>-1332</v>
      </c>
      <c r="M205" s="118">
        <v>-1328</v>
      </c>
      <c r="N205" s="118">
        <v>-1227</v>
      </c>
      <c r="O205" s="118">
        <v>-1256</v>
      </c>
      <c r="P205" s="118">
        <v>-1226.8322899999998</v>
      </c>
      <c r="Q205" s="118">
        <v>-1116.0049879999997</v>
      </c>
      <c r="R205" s="118">
        <v>-906.99501200000032</v>
      </c>
      <c r="S205" s="118">
        <v>-1281</v>
      </c>
      <c r="T205" s="118">
        <v>-1378.4642379999996</v>
      </c>
      <c r="V205" s="44" t="s">
        <v>47</v>
      </c>
      <c r="W205" s="118">
        <v>-1048.137751</v>
      </c>
      <c r="X205" s="118">
        <f>+[33]EEFF_Vías_Chi!Y205</f>
        <v>275.94949599999995</v>
      </c>
    </row>
    <row r="206" spans="2:24" ht="15.5">
      <c r="B206" s="85" t="s">
        <v>48</v>
      </c>
      <c r="C206" s="120">
        <v>1398</v>
      </c>
      <c r="D206" s="120">
        <v>3764</v>
      </c>
      <c r="E206" s="120">
        <v>-245</v>
      </c>
      <c r="F206" s="120">
        <v>-121</v>
      </c>
      <c r="G206" s="120">
        <v>-391</v>
      </c>
      <c r="H206" s="120">
        <v>-101</v>
      </c>
      <c r="I206" s="120">
        <v>-60</v>
      </c>
      <c r="J206" s="120">
        <v>105</v>
      </c>
      <c r="K206" s="120">
        <v>638</v>
      </c>
      <c r="L206" s="120">
        <v>4</v>
      </c>
      <c r="M206" s="120">
        <v>-1013</v>
      </c>
      <c r="N206" s="120">
        <v>-1126</v>
      </c>
      <c r="O206" s="120">
        <v>-990</v>
      </c>
      <c r="P206" s="120">
        <v>-8813.4560549999987</v>
      </c>
      <c r="Q206" s="120">
        <f>+Q203+Q205</f>
        <v>161.56259800000089</v>
      </c>
      <c r="R206" s="120">
        <v>242.43740199999911</v>
      </c>
      <c r="S206" s="120">
        <v>443</v>
      </c>
      <c r="T206" s="120">
        <v>549.78278100000011</v>
      </c>
      <c r="V206" s="253" t="s">
        <v>48</v>
      </c>
      <c r="W206" s="120">
        <v>57.881968999999572</v>
      </c>
      <c r="X206" s="120">
        <f>+[33]EEFF_Vías_Chi!Y206</f>
        <v>549.09894400000076</v>
      </c>
    </row>
    <row r="207" spans="2:24" ht="15.5">
      <c r="B207" s="82"/>
      <c r="C207" s="9"/>
      <c r="D207" s="9"/>
      <c r="E207" s="9"/>
      <c r="F207" s="9"/>
      <c r="G207" s="9"/>
      <c r="H207" s="9"/>
      <c r="I207" s="9"/>
      <c r="J207" s="9"/>
      <c r="K207" s="9"/>
      <c r="L207" s="9"/>
      <c r="M207" s="9"/>
      <c r="N207" s="9"/>
      <c r="O207" s="9"/>
      <c r="P207" s="9"/>
      <c r="Q207" s="9"/>
      <c r="R207" s="9"/>
      <c r="S207" s="9"/>
      <c r="T207" s="9"/>
      <c r="V207" s="404"/>
      <c r="W207" s="9"/>
      <c r="X207" s="9">
        <f>+[33]EEFF_Vías_Chi!Y207</f>
        <v>0</v>
      </c>
    </row>
    <row r="208" spans="2:24" ht="15.5">
      <c r="B208" s="83" t="s">
        <v>49</v>
      </c>
      <c r="C208" s="118">
        <v>7167</v>
      </c>
      <c r="D208" s="118">
        <v>4197</v>
      </c>
      <c r="E208" s="118">
        <v>-314</v>
      </c>
      <c r="F208" s="118">
        <v>-146</v>
      </c>
      <c r="G208" s="118">
        <v>-249</v>
      </c>
      <c r="H208" s="118">
        <v>-1049</v>
      </c>
      <c r="I208" s="118">
        <v>-16</v>
      </c>
      <c r="J208" s="118">
        <v>-217</v>
      </c>
      <c r="K208" s="118">
        <v>85</v>
      </c>
      <c r="L208" s="118">
        <v>-87</v>
      </c>
      <c r="M208" s="118">
        <v>-369</v>
      </c>
      <c r="N208" s="118">
        <v>-330</v>
      </c>
      <c r="O208" s="118">
        <v>-347</v>
      </c>
      <c r="P208" s="118">
        <v>1376.0952139999999</v>
      </c>
      <c r="Q208" s="118">
        <v>-52.915762999999998</v>
      </c>
      <c r="R208" s="118">
        <v>-518.08423700000003</v>
      </c>
      <c r="S208" s="118">
        <v>6266</v>
      </c>
      <c r="T208" s="118">
        <v>1790.7524649999996</v>
      </c>
      <c r="V208" s="44" t="s">
        <v>49</v>
      </c>
      <c r="W208" s="118">
        <v>-70.283833999999999</v>
      </c>
      <c r="X208" s="118">
        <f>+[33]EEFF_Vías_Chi!Y208</f>
        <v>-2376.5063660000001</v>
      </c>
    </row>
    <row r="209" spans="2:24" ht="15.5">
      <c r="B209" s="85" t="s">
        <v>52</v>
      </c>
      <c r="C209" s="120">
        <v>-5769</v>
      </c>
      <c r="D209" s="120">
        <v>-433</v>
      </c>
      <c r="E209" s="120">
        <v>69</v>
      </c>
      <c r="F209" s="120">
        <v>25</v>
      </c>
      <c r="G209" s="120">
        <v>-142</v>
      </c>
      <c r="H209" s="120">
        <v>948</v>
      </c>
      <c r="I209" s="120">
        <v>-44</v>
      </c>
      <c r="J209" s="120">
        <v>322</v>
      </c>
      <c r="K209" s="120">
        <v>553</v>
      </c>
      <c r="L209" s="120">
        <v>91</v>
      </c>
      <c r="M209" s="120">
        <v>-644</v>
      </c>
      <c r="N209" s="120">
        <v>-796</v>
      </c>
      <c r="O209" s="120">
        <v>-643</v>
      </c>
      <c r="P209" s="120">
        <v>-10189.551269</v>
      </c>
      <c r="Q209" s="120">
        <f>+Q206+Q208</f>
        <v>108.64683500000089</v>
      </c>
      <c r="R209" s="120">
        <v>-275.64683500000092</v>
      </c>
      <c r="S209" s="120">
        <v>6709</v>
      </c>
      <c r="T209" s="120">
        <v>2340.5352459999995</v>
      </c>
      <c r="V209" s="253" t="s">
        <v>52</v>
      </c>
      <c r="W209" s="120">
        <v>128.16580299999958</v>
      </c>
      <c r="X209" s="120">
        <f>+[33]EEFF_Vías_Chi!Y209</f>
        <v>0</v>
      </c>
    </row>
    <row r="210" spans="2:24" ht="15.5">
      <c r="B210" s="143"/>
      <c r="C210" s="143"/>
      <c r="D210" s="143"/>
      <c r="E210" s="143"/>
      <c r="F210" s="143"/>
      <c r="G210" s="143"/>
      <c r="H210" s="143"/>
      <c r="I210" s="143"/>
      <c r="J210" s="143"/>
      <c r="K210" s="143"/>
      <c r="L210" s="143"/>
      <c r="M210" s="143"/>
      <c r="N210" s="143"/>
      <c r="O210" s="143"/>
      <c r="P210" s="46"/>
      <c r="Q210" s="46"/>
      <c r="V210" s="46"/>
      <c r="W210" s="653"/>
      <c r="X210" s="653">
        <f>+[33]EEFF_Vías_Chi!Y210</f>
        <v>0</v>
      </c>
    </row>
    <row r="211" spans="2:24" ht="15.5">
      <c r="B211" s="143"/>
      <c r="C211" s="143"/>
      <c r="D211" s="143"/>
      <c r="E211" s="143"/>
      <c r="F211" s="143"/>
      <c r="G211" s="143"/>
      <c r="H211" s="143"/>
      <c r="I211" s="143"/>
      <c r="J211" s="143"/>
      <c r="K211" s="143"/>
      <c r="L211" s="143"/>
      <c r="M211" s="143"/>
      <c r="N211" s="143"/>
      <c r="O211" s="143"/>
      <c r="P211" s="46"/>
      <c r="Q211" s="46"/>
      <c r="V211" s="85" t="s">
        <v>1104</v>
      </c>
      <c r="W211" s="120">
        <v>1254</v>
      </c>
      <c r="X211" s="120">
        <f>+[33]EEFF_Vías_Chi!Y211</f>
        <v>510.46393300000102</v>
      </c>
    </row>
    <row r="212" spans="2:24" ht="15.5">
      <c r="B212" s="62" t="s">
        <v>363</v>
      </c>
      <c r="C212" s="143"/>
      <c r="D212" s="143"/>
      <c r="E212" s="143"/>
      <c r="F212" s="143"/>
      <c r="G212" s="143"/>
      <c r="H212" s="88"/>
      <c r="I212" s="88"/>
      <c r="J212" s="88"/>
      <c r="K212" s="88"/>
      <c r="L212" s="88"/>
      <c r="M212" s="88"/>
      <c r="N212" s="88"/>
      <c r="O212" s="88"/>
      <c r="P212" s="46"/>
      <c r="Q212" s="46"/>
      <c r="V212" s="46"/>
      <c r="W212" s="653"/>
      <c r="X212" s="653">
        <f>+[33]EEFF_Vías_Chi!Y212</f>
        <v>0</v>
      </c>
    </row>
    <row r="213" spans="2:24" ht="15.5">
      <c r="B213" s="165" t="s">
        <v>356</v>
      </c>
      <c r="C213" s="143"/>
      <c r="D213" s="143"/>
      <c r="E213" s="143"/>
      <c r="F213" s="143"/>
      <c r="G213" s="143"/>
      <c r="H213" s="89"/>
      <c r="I213" s="89"/>
      <c r="J213" s="89"/>
      <c r="K213" s="89"/>
      <c r="L213" s="89"/>
      <c r="M213" s="89"/>
      <c r="N213" s="89"/>
      <c r="O213" s="89"/>
      <c r="P213" s="46"/>
      <c r="Q213" s="46"/>
      <c r="V213" s="46"/>
      <c r="W213" s="653"/>
      <c r="X213" s="653"/>
    </row>
    <row r="214" spans="2:24" ht="8.5" customHeight="1">
      <c r="B214" s="90"/>
      <c r="C214" s="143"/>
      <c r="D214" s="143"/>
      <c r="E214" s="143"/>
      <c r="F214" s="143"/>
      <c r="G214" s="143"/>
      <c r="H214" s="90"/>
      <c r="I214" s="90"/>
      <c r="J214" s="90"/>
      <c r="K214" s="90"/>
      <c r="L214" s="90"/>
      <c r="M214" s="90"/>
      <c r="N214" s="90"/>
      <c r="O214" s="90"/>
      <c r="P214" s="46"/>
      <c r="Q214" s="46"/>
      <c r="V214" s="46"/>
      <c r="W214" s="653"/>
      <c r="X214" s="653"/>
    </row>
    <row r="215" spans="2:24" ht="15.5">
      <c r="B215" s="211"/>
      <c r="C215" s="212">
        <v>2016</v>
      </c>
      <c r="D215" s="212">
        <v>2017</v>
      </c>
      <c r="E215" s="212" t="s">
        <v>19</v>
      </c>
      <c r="F215" s="212" t="s">
        <v>20</v>
      </c>
      <c r="G215" s="212" t="s">
        <v>21</v>
      </c>
      <c r="H215" s="212" t="s">
        <v>22</v>
      </c>
      <c r="I215" s="212" t="s">
        <v>23</v>
      </c>
      <c r="J215" s="212" t="s">
        <v>24</v>
      </c>
      <c r="K215" s="212" t="s">
        <v>25</v>
      </c>
      <c r="L215" s="212" t="s">
        <v>26</v>
      </c>
      <c r="M215" s="212" t="s">
        <v>27</v>
      </c>
      <c r="N215" s="212" t="s">
        <v>28</v>
      </c>
      <c r="O215" s="212" t="s">
        <v>29</v>
      </c>
      <c r="P215" s="212" t="s">
        <v>722</v>
      </c>
      <c r="Q215" s="340" t="s">
        <v>739</v>
      </c>
      <c r="R215" s="340" t="s">
        <v>912</v>
      </c>
      <c r="S215" s="340" t="s">
        <v>1051</v>
      </c>
      <c r="T215" s="340" t="s">
        <v>1089</v>
      </c>
      <c r="V215" s="211"/>
      <c r="W215" s="654" t="s">
        <v>1109</v>
      </c>
      <c r="X215" s="654" t="s">
        <v>1190</v>
      </c>
    </row>
    <row r="216" spans="2:24" ht="15">
      <c r="B216" s="188" t="s">
        <v>55</v>
      </c>
      <c r="C216" s="188"/>
      <c r="D216" s="188"/>
      <c r="E216" s="188"/>
      <c r="F216" s="188"/>
      <c r="G216" s="188"/>
      <c r="H216" s="188"/>
      <c r="I216" s="188"/>
      <c r="J216" s="188"/>
      <c r="K216" s="188"/>
      <c r="L216" s="188"/>
      <c r="M216" s="188"/>
      <c r="N216" s="188"/>
      <c r="O216" s="188"/>
      <c r="P216" s="188"/>
      <c r="Q216" s="188"/>
      <c r="R216" s="188"/>
      <c r="S216" s="188"/>
      <c r="T216" s="188"/>
      <c r="V216" s="188" t="s">
        <v>55</v>
      </c>
      <c r="W216" s="667"/>
      <c r="X216" s="667"/>
    </row>
    <row r="217" spans="2:24" ht="15">
      <c r="B217" s="181" t="s">
        <v>56</v>
      </c>
      <c r="C217" s="182"/>
      <c r="D217" s="182"/>
      <c r="E217" s="182"/>
      <c r="F217" s="182"/>
      <c r="G217" s="182"/>
      <c r="H217" s="182"/>
      <c r="I217" s="182"/>
      <c r="J217" s="182"/>
      <c r="K217" s="182"/>
      <c r="L217" s="182"/>
      <c r="M217" s="182"/>
      <c r="N217" s="182"/>
      <c r="O217" s="182"/>
      <c r="P217" s="182"/>
      <c r="Q217" s="182"/>
      <c r="R217" s="182"/>
      <c r="S217" s="182"/>
      <c r="T217" s="182"/>
      <c r="V217" s="181" t="s">
        <v>56</v>
      </c>
      <c r="W217" s="623"/>
      <c r="X217" s="623"/>
    </row>
    <row r="218" spans="2:24" ht="15.5">
      <c r="B218" s="209" t="s">
        <v>57</v>
      </c>
      <c r="C218" s="110">
        <v>23401</v>
      </c>
      <c r="D218" s="110">
        <v>39363</v>
      </c>
      <c r="E218" s="110">
        <v>3970</v>
      </c>
      <c r="F218" s="110">
        <v>43640</v>
      </c>
      <c r="G218" s="110">
        <v>42599</v>
      </c>
      <c r="H218" s="110">
        <v>49315</v>
      </c>
      <c r="I218" s="110">
        <v>11868</v>
      </c>
      <c r="J218" s="110">
        <v>19614</v>
      </c>
      <c r="K218" s="110">
        <v>19135</v>
      </c>
      <c r="L218" s="110">
        <v>24281</v>
      </c>
      <c r="M218" s="110">
        <v>28465</v>
      </c>
      <c r="N218" s="110">
        <v>32278</v>
      </c>
      <c r="O218" s="110">
        <v>49396</v>
      </c>
      <c r="P218" s="110">
        <v>55799.534785999997</v>
      </c>
      <c r="Q218" s="110">
        <v>51095.830070999997</v>
      </c>
      <c r="R218" s="110">
        <v>49129</v>
      </c>
      <c r="S218" s="110">
        <v>48692</v>
      </c>
      <c r="T218" s="110">
        <v>44509.236320000004</v>
      </c>
      <c r="V218" s="209" t="s">
        <v>57</v>
      </c>
      <c r="W218" s="110">
        <v>20919.53472</v>
      </c>
      <c r="X218" s="110">
        <f>+[33]EEFF_Vías_Chi!Y218</f>
        <v>17397.112867</v>
      </c>
    </row>
    <row r="219" spans="2:24" ht="15.5">
      <c r="B219" s="209" t="s">
        <v>58</v>
      </c>
      <c r="C219" s="110">
        <v>53205</v>
      </c>
      <c r="D219" s="110">
        <v>51476</v>
      </c>
      <c r="E219" s="110">
        <v>87951</v>
      </c>
      <c r="F219" s="110">
        <v>54602</v>
      </c>
      <c r="G219" s="110">
        <v>56129</v>
      </c>
      <c r="H219" s="110">
        <v>57373</v>
      </c>
      <c r="I219" s="110">
        <v>94438</v>
      </c>
      <c r="J219" s="110">
        <v>89135</v>
      </c>
      <c r="K219" s="110">
        <v>80692</v>
      </c>
      <c r="L219" s="110">
        <v>77486</v>
      </c>
      <c r="M219" s="110">
        <v>64245</v>
      </c>
      <c r="N219" s="110">
        <v>60220</v>
      </c>
      <c r="O219" s="110">
        <v>28742</v>
      </c>
      <c r="P219" s="110">
        <v>20632.426694999998</v>
      </c>
      <c r="Q219" s="110">
        <f>17668.969429+3015.014599</f>
        <v>20683.984027999999</v>
      </c>
      <c r="R219" s="110">
        <v>20588</v>
      </c>
      <c r="S219" s="110">
        <v>21932</v>
      </c>
      <c r="T219" s="110">
        <v>24396.298483999999</v>
      </c>
      <c r="V219" s="209" t="s">
        <v>58</v>
      </c>
      <c r="W219" s="110">
        <v>2803.9459750000001</v>
      </c>
      <c r="X219" s="110">
        <f>+[33]EEFF_Vías_Chi!Y219</f>
        <v>3275.3858409999998</v>
      </c>
    </row>
    <row r="220" spans="2:24" ht="15.5">
      <c r="B220" s="209" t="s">
        <v>59</v>
      </c>
      <c r="C220" s="110">
        <v>5</v>
      </c>
      <c r="D220" s="110">
        <v>7</v>
      </c>
      <c r="E220" s="110">
        <v>7</v>
      </c>
      <c r="F220" s="110">
        <v>7</v>
      </c>
      <c r="G220" s="110">
        <v>82</v>
      </c>
      <c r="H220" s="110">
        <v>12</v>
      </c>
      <c r="I220" s="110">
        <v>15</v>
      </c>
      <c r="J220" s="110">
        <v>15</v>
      </c>
      <c r="K220" s="110">
        <v>8</v>
      </c>
      <c r="L220" s="110">
        <v>8</v>
      </c>
      <c r="M220" s="110">
        <v>202</v>
      </c>
      <c r="N220" s="110">
        <v>8</v>
      </c>
      <c r="O220" s="110">
        <v>240</v>
      </c>
      <c r="P220" s="110">
        <v>11.244033</v>
      </c>
      <c r="Q220" s="110">
        <v>11.244033</v>
      </c>
      <c r="R220" s="110">
        <v>101</v>
      </c>
      <c r="S220" s="110">
        <v>565</v>
      </c>
      <c r="T220" s="110">
        <v>609.25244199999997</v>
      </c>
      <c r="V220" s="209" t="s">
        <v>59</v>
      </c>
      <c r="W220" s="110">
        <v>13.669385</v>
      </c>
      <c r="X220" s="110">
        <f>+[33]EEFF_Vías_Chi!Y220</f>
        <v>13.669385</v>
      </c>
    </row>
    <row r="221" spans="2:24" ht="15.5">
      <c r="B221" s="209" t="s">
        <v>61</v>
      </c>
      <c r="C221" s="110">
        <v>298</v>
      </c>
      <c r="D221" s="110">
        <v>291</v>
      </c>
      <c r="E221" s="110">
        <v>200</v>
      </c>
      <c r="F221" s="110">
        <v>664</v>
      </c>
      <c r="G221" s="110">
        <v>579</v>
      </c>
      <c r="H221" s="110">
        <v>549</v>
      </c>
      <c r="I221" s="110">
        <v>352</v>
      </c>
      <c r="J221" s="110">
        <v>263</v>
      </c>
      <c r="K221" s="110">
        <v>182</v>
      </c>
      <c r="L221" s="110">
        <v>533</v>
      </c>
      <c r="M221" s="110">
        <v>536</v>
      </c>
      <c r="N221" s="110">
        <v>430</v>
      </c>
      <c r="O221" s="110">
        <v>291</v>
      </c>
      <c r="P221" s="110">
        <v>803.86814300000003</v>
      </c>
      <c r="Q221" s="110">
        <v>895.31806800000004</v>
      </c>
      <c r="R221" s="110">
        <v>725</v>
      </c>
      <c r="S221" s="110">
        <v>574</v>
      </c>
      <c r="T221" s="110">
        <v>389.93703699999998</v>
      </c>
      <c r="V221" s="209" t="s">
        <v>61</v>
      </c>
      <c r="W221" s="110">
        <v>222.52690699999999</v>
      </c>
      <c r="X221" s="110">
        <f>+[33]EEFF_Vías_Chi!Y221</f>
        <v>440.01253000000003</v>
      </c>
    </row>
    <row r="222" spans="2:24" ht="15.5">
      <c r="B222" s="209" t="s">
        <v>282</v>
      </c>
      <c r="C222" s="110">
        <v>0</v>
      </c>
      <c r="D222" s="110">
        <v>0</v>
      </c>
      <c r="E222" s="110">
        <v>0</v>
      </c>
      <c r="F222" s="110">
        <v>0</v>
      </c>
      <c r="G222" s="110">
        <v>0</v>
      </c>
      <c r="H222" s="110">
        <v>0</v>
      </c>
      <c r="I222" s="110">
        <v>0</v>
      </c>
      <c r="J222" s="110">
        <v>0</v>
      </c>
      <c r="K222" s="110">
        <v>0</v>
      </c>
      <c r="L222" s="110">
        <v>0</v>
      </c>
      <c r="M222" s="110">
        <v>0</v>
      </c>
      <c r="N222" s="110">
        <v>0</v>
      </c>
      <c r="O222" s="110">
        <v>0</v>
      </c>
      <c r="P222" s="110">
        <v>0</v>
      </c>
      <c r="Q222" s="110">
        <v>0</v>
      </c>
      <c r="R222" s="110">
        <v>0</v>
      </c>
      <c r="S222" s="110">
        <v>0</v>
      </c>
      <c r="T222" s="110">
        <v>0</v>
      </c>
      <c r="V222" s="209" t="s">
        <v>282</v>
      </c>
      <c r="W222" s="110">
        <v>0</v>
      </c>
      <c r="X222" s="110">
        <f>+[33]EEFF_Vías_Chi!Y222</f>
        <v>0</v>
      </c>
    </row>
    <row r="223" spans="2:24" ht="15.5">
      <c r="B223" s="209" t="s">
        <v>62</v>
      </c>
      <c r="C223" s="110">
        <v>0</v>
      </c>
      <c r="D223" s="110">
        <v>0</v>
      </c>
      <c r="E223" s="110">
        <v>0</v>
      </c>
      <c r="F223" s="110">
        <v>0</v>
      </c>
      <c r="G223" s="110">
        <v>0</v>
      </c>
      <c r="H223" s="110">
        <v>0</v>
      </c>
      <c r="I223" s="110">
        <v>0</v>
      </c>
      <c r="J223" s="110">
        <v>0</v>
      </c>
      <c r="K223" s="110">
        <v>0</v>
      </c>
      <c r="L223" s="110">
        <v>0</v>
      </c>
      <c r="M223" s="110">
        <v>0</v>
      </c>
      <c r="N223" s="110">
        <v>0</v>
      </c>
      <c r="O223" s="110">
        <v>0</v>
      </c>
      <c r="P223" s="110">
        <v>0</v>
      </c>
      <c r="Q223" s="110">
        <v>0</v>
      </c>
      <c r="R223" s="110">
        <v>0</v>
      </c>
      <c r="S223" s="110">
        <v>0</v>
      </c>
      <c r="T223" s="110">
        <v>0</v>
      </c>
      <c r="V223" s="209" t="s">
        <v>62</v>
      </c>
      <c r="W223" s="110">
        <v>0</v>
      </c>
      <c r="X223" s="110">
        <f>+[33]EEFF_Vías_Chi!Y223</f>
        <v>0</v>
      </c>
    </row>
    <row r="224" spans="2:24" ht="15">
      <c r="B224" s="132" t="s">
        <v>63</v>
      </c>
      <c r="C224" s="185">
        <v>76909</v>
      </c>
      <c r="D224" s="185">
        <v>91137</v>
      </c>
      <c r="E224" s="185">
        <v>92128</v>
      </c>
      <c r="F224" s="185">
        <v>98913</v>
      </c>
      <c r="G224" s="185">
        <v>99389</v>
      </c>
      <c r="H224" s="185">
        <v>107249</v>
      </c>
      <c r="I224" s="185">
        <v>106673</v>
      </c>
      <c r="J224" s="185">
        <v>109027</v>
      </c>
      <c r="K224" s="185">
        <v>100017</v>
      </c>
      <c r="L224" s="185">
        <v>102308</v>
      </c>
      <c r="M224" s="185">
        <v>93448</v>
      </c>
      <c r="N224" s="185">
        <v>92936</v>
      </c>
      <c r="O224" s="185">
        <v>78669</v>
      </c>
      <c r="P224" s="185">
        <f>SUM(P218:P223)</f>
        <v>77247.073656999986</v>
      </c>
      <c r="Q224" s="185">
        <f>SUM(Q218:Q223)</f>
        <v>72686.376199999984</v>
      </c>
      <c r="R224" s="185">
        <v>70543</v>
      </c>
      <c r="S224" s="185">
        <v>71763</v>
      </c>
      <c r="T224" s="185">
        <v>69904.724282999989</v>
      </c>
      <c r="V224" s="132" t="s">
        <v>63</v>
      </c>
      <c r="W224" s="659">
        <v>23959.676986999999</v>
      </c>
      <c r="X224" s="659">
        <f>+[33]EEFF_Vías_Chi!Y224</f>
        <v>21126.180623</v>
      </c>
    </row>
    <row r="225" spans="2:24" ht="15">
      <c r="B225" s="181" t="s">
        <v>64</v>
      </c>
      <c r="C225" s="182"/>
      <c r="D225" s="182"/>
      <c r="E225" s="182"/>
      <c r="F225" s="182"/>
      <c r="G225" s="182"/>
      <c r="H225" s="182"/>
      <c r="I225" s="182"/>
      <c r="J225" s="182"/>
      <c r="K225" s="182"/>
      <c r="L225" s="182"/>
      <c r="M225" s="182"/>
      <c r="N225" s="182"/>
      <c r="O225" s="182"/>
      <c r="P225" s="182"/>
      <c r="Q225" s="182"/>
      <c r="R225" s="182"/>
      <c r="S225" s="182"/>
      <c r="T225" s="182"/>
      <c r="V225" s="181" t="s">
        <v>64</v>
      </c>
      <c r="W225" s="623"/>
      <c r="X225" s="623">
        <f>+[33]EEFF_Vías_Chi!Y225</f>
        <v>0</v>
      </c>
    </row>
    <row r="226" spans="2:24" ht="15.5">
      <c r="B226" s="209" t="s">
        <v>65</v>
      </c>
      <c r="C226" s="110">
        <v>0</v>
      </c>
      <c r="D226" s="110">
        <v>0</v>
      </c>
      <c r="E226" s="110">
        <v>0</v>
      </c>
      <c r="F226" s="110">
        <v>0</v>
      </c>
      <c r="G226" s="110">
        <v>0</v>
      </c>
      <c r="H226" s="110">
        <v>0</v>
      </c>
      <c r="I226" s="110">
        <v>0</v>
      </c>
      <c r="J226" s="110">
        <v>0</v>
      </c>
      <c r="K226" s="110">
        <v>0</v>
      </c>
      <c r="L226" s="110">
        <v>0</v>
      </c>
      <c r="M226" s="110">
        <v>0</v>
      </c>
      <c r="N226" s="110">
        <v>0</v>
      </c>
      <c r="O226" s="110">
        <v>0</v>
      </c>
      <c r="P226" s="110">
        <v>0</v>
      </c>
      <c r="Q226" s="110">
        <v>0</v>
      </c>
      <c r="R226" s="110">
        <v>0</v>
      </c>
      <c r="S226" s="110">
        <v>0</v>
      </c>
      <c r="T226" s="110">
        <v>0</v>
      </c>
      <c r="V226" s="209" t="s">
        <v>65</v>
      </c>
      <c r="W226" s="110">
        <v>0</v>
      </c>
      <c r="X226" s="110">
        <f>+[33]EEFF_Vías_Chi!Y226</f>
        <v>0</v>
      </c>
    </row>
    <row r="227" spans="2:24" ht="15.5">
      <c r="B227" s="209" t="s">
        <v>66</v>
      </c>
      <c r="C227" s="110">
        <v>0</v>
      </c>
      <c r="D227" s="110">
        <v>0</v>
      </c>
      <c r="E227" s="110">
        <v>0</v>
      </c>
      <c r="F227" s="110">
        <v>0</v>
      </c>
      <c r="G227" s="110">
        <v>0</v>
      </c>
      <c r="H227" s="110">
        <v>0</v>
      </c>
      <c r="I227" s="110">
        <v>0</v>
      </c>
      <c r="J227" s="110">
        <v>0</v>
      </c>
      <c r="K227" s="110">
        <v>0</v>
      </c>
      <c r="L227" s="110">
        <v>0</v>
      </c>
      <c r="M227" s="110">
        <v>0</v>
      </c>
      <c r="N227" s="110">
        <v>0</v>
      </c>
      <c r="O227" s="110">
        <v>0</v>
      </c>
      <c r="P227" s="110">
        <v>0</v>
      </c>
      <c r="Q227" s="110">
        <v>0</v>
      </c>
      <c r="R227" s="110">
        <v>0</v>
      </c>
      <c r="S227" s="110">
        <v>0</v>
      </c>
      <c r="T227" s="110">
        <v>0</v>
      </c>
      <c r="V227" s="209" t="s">
        <v>66</v>
      </c>
      <c r="W227" s="110">
        <v>0</v>
      </c>
      <c r="X227" s="110">
        <f>+[33]EEFF_Vías_Chi!Y227</f>
        <v>0</v>
      </c>
    </row>
    <row r="228" spans="2:24" ht="30">
      <c r="B228" s="209" t="s">
        <v>113</v>
      </c>
      <c r="C228" s="110">
        <v>0</v>
      </c>
      <c r="D228" s="110">
        <v>0</v>
      </c>
      <c r="E228" s="110">
        <v>0</v>
      </c>
      <c r="F228" s="110">
        <v>0</v>
      </c>
      <c r="G228" s="110">
        <v>0</v>
      </c>
      <c r="H228" s="110">
        <v>0</v>
      </c>
      <c r="I228" s="110">
        <v>0</v>
      </c>
      <c r="J228" s="110">
        <v>0</v>
      </c>
      <c r="K228" s="110">
        <v>0</v>
      </c>
      <c r="L228" s="110">
        <v>0</v>
      </c>
      <c r="M228" s="110">
        <v>0</v>
      </c>
      <c r="N228" s="110">
        <v>0</v>
      </c>
      <c r="O228" s="110">
        <v>0</v>
      </c>
      <c r="P228" s="110">
        <v>0</v>
      </c>
      <c r="Q228" s="110">
        <v>0</v>
      </c>
      <c r="R228" s="110">
        <v>0</v>
      </c>
      <c r="S228" s="110">
        <v>0</v>
      </c>
      <c r="T228" s="110">
        <v>0</v>
      </c>
      <c r="V228" s="209" t="s">
        <v>113</v>
      </c>
      <c r="W228" s="110">
        <v>0</v>
      </c>
      <c r="X228" s="110">
        <f>+[33]EEFF_Vías_Chi!Y228</f>
        <v>0</v>
      </c>
    </row>
    <row r="229" spans="2:24" ht="15.5">
      <c r="B229" s="209" t="s">
        <v>114</v>
      </c>
      <c r="C229" s="110">
        <v>0</v>
      </c>
      <c r="D229" s="110">
        <v>0</v>
      </c>
      <c r="E229" s="110">
        <v>0</v>
      </c>
      <c r="F229" s="110">
        <v>0</v>
      </c>
      <c r="G229" s="110">
        <v>0</v>
      </c>
      <c r="H229" s="110">
        <v>0</v>
      </c>
      <c r="I229" s="110">
        <v>0</v>
      </c>
      <c r="J229" s="110">
        <v>0</v>
      </c>
      <c r="K229" s="110">
        <v>0</v>
      </c>
      <c r="L229" s="110">
        <v>0</v>
      </c>
      <c r="M229" s="110">
        <v>0</v>
      </c>
      <c r="N229" s="110">
        <v>0</v>
      </c>
      <c r="O229" s="110">
        <v>0</v>
      </c>
      <c r="P229" s="110">
        <v>0</v>
      </c>
      <c r="Q229" s="110">
        <v>0</v>
      </c>
      <c r="R229" s="110">
        <v>0</v>
      </c>
      <c r="S229" s="110">
        <v>0</v>
      </c>
      <c r="T229" s="110">
        <v>0</v>
      </c>
      <c r="V229" s="209" t="s">
        <v>114</v>
      </c>
      <c r="W229" s="110">
        <v>0</v>
      </c>
      <c r="X229" s="110">
        <f>+[33]EEFF_Vías_Chi!Y229</f>
        <v>0</v>
      </c>
    </row>
    <row r="230" spans="2:24" ht="15.5">
      <c r="B230" s="209" t="s">
        <v>58</v>
      </c>
      <c r="C230" s="110">
        <v>68709</v>
      </c>
      <c r="D230" s="110">
        <v>43386</v>
      </c>
      <c r="E230" s="110">
        <v>33047</v>
      </c>
      <c r="F230" s="110">
        <v>29148</v>
      </c>
      <c r="G230" s="110">
        <v>13574</v>
      </c>
      <c r="H230" s="110">
        <v>8311</v>
      </c>
      <c r="I230" s="110">
        <v>0</v>
      </c>
      <c r="J230" s="110">
        <v>0</v>
      </c>
      <c r="K230" s="110">
        <v>0</v>
      </c>
      <c r="L230" s="110">
        <v>0</v>
      </c>
      <c r="M230" s="110">
        <v>0</v>
      </c>
      <c r="N230" s="110">
        <v>0</v>
      </c>
      <c r="O230" s="110">
        <v>0</v>
      </c>
      <c r="P230" s="110">
        <v>0</v>
      </c>
      <c r="Q230" s="110">
        <v>0</v>
      </c>
      <c r="R230" s="110">
        <v>0</v>
      </c>
      <c r="S230" s="110">
        <v>0</v>
      </c>
      <c r="T230" s="110">
        <v>0</v>
      </c>
      <c r="V230" s="209" t="s">
        <v>58</v>
      </c>
      <c r="W230" s="110">
        <v>0</v>
      </c>
      <c r="X230" s="110">
        <f>+[33]EEFF_Vías_Chi!Y230</f>
        <v>0</v>
      </c>
    </row>
    <row r="231" spans="2:24" ht="15.5">
      <c r="B231" s="209" t="s">
        <v>69</v>
      </c>
      <c r="C231" s="110">
        <v>0</v>
      </c>
      <c r="D231" s="110">
        <v>0</v>
      </c>
      <c r="E231" s="110">
        <v>0</v>
      </c>
      <c r="F231" s="110">
        <v>0</v>
      </c>
      <c r="G231" s="110">
        <v>0</v>
      </c>
      <c r="H231" s="110">
        <v>0</v>
      </c>
      <c r="I231" s="110">
        <v>0</v>
      </c>
      <c r="J231" s="110">
        <v>0</v>
      </c>
      <c r="K231" s="110">
        <v>0</v>
      </c>
      <c r="L231" s="110">
        <v>0</v>
      </c>
      <c r="M231" s="110">
        <v>0</v>
      </c>
      <c r="N231" s="110">
        <v>0</v>
      </c>
      <c r="O231" s="110">
        <v>0</v>
      </c>
      <c r="P231" s="110">
        <v>0</v>
      </c>
      <c r="Q231" s="110">
        <v>0</v>
      </c>
      <c r="R231" s="110">
        <v>0</v>
      </c>
      <c r="S231" s="110">
        <v>0</v>
      </c>
      <c r="T231" s="110">
        <v>0</v>
      </c>
      <c r="V231" s="209" t="s">
        <v>69</v>
      </c>
      <c r="W231" s="110">
        <v>0</v>
      </c>
      <c r="X231" s="110">
        <f>+[33]EEFF_Vías_Chi!Y231</f>
        <v>0</v>
      </c>
    </row>
    <row r="232" spans="2:24" ht="15.5">
      <c r="B232" s="209" t="s">
        <v>70</v>
      </c>
      <c r="C232" s="110">
        <v>243</v>
      </c>
      <c r="D232" s="110">
        <v>355</v>
      </c>
      <c r="E232" s="110">
        <v>328</v>
      </c>
      <c r="F232" s="110">
        <v>301</v>
      </c>
      <c r="G232" s="110">
        <v>303</v>
      </c>
      <c r="H232" s="110">
        <v>278</v>
      </c>
      <c r="I232" s="110">
        <v>363</v>
      </c>
      <c r="J232" s="110">
        <v>277</v>
      </c>
      <c r="K232" s="110">
        <v>254</v>
      </c>
      <c r="L232" s="110">
        <v>234</v>
      </c>
      <c r="M232" s="110">
        <v>207</v>
      </c>
      <c r="N232" s="110">
        <v>183</v>
      </c>
      <c r="O232" s="110">
        <v>160</v>
      </c>
      <c r="P232" s="110">
        <v>142.84178399999999</v>
      </c>
      <c r="Q232" s="110">
        <v>120.689905</v>
      </c>
      <c r="R232" s="110">
        <v>99</v>
      </c>
      <c r="S232" s="110">
        <v>79</v>
      </c>
      <c r="T232" s="110">
        <v>51.387816000000001</v>
      </c>
      <c r="V232" s="209" t="s">
        <v>70</v>
      </c>
      <c r="W232" s="110">
        <v>37.029466999999997</v>
      </c>
      <c r="X232" s="110">
        <f>+[33]EEFF_Vías_Chi!Y232</f>
        <v>25.784029</v>
      </c>
    </row>
    <row r="233" spans="2:24" ht="15.5">
      <c r="B233" s="209" t="s">
        <v>71</v>
      </c>
      <c r="C233" s="110">
        <v>0</v>
      </c>
      <c r="D233" s="110">
        <v>0</v>
      </c>
      <c r="E233" s="110">
        <v>0</v>
      </c>
      <c r="F233" s="110">
        <v>0</v>
      </c>
      <c r="G233" s="110">
        <v>0</v>
      </c>
      <c r="H233" s="110">
        <v>0</v>
      </c>
      <c r="I233" s="110">
        <v>0</v>
      </c>
      <c r="J233" s="110">
        <v>0</v>
      </c>
      <c r="K233" s="110">
        <v>0</v>
      </c>
      <c r="L233" s="110">
        <v>0</v>
      </c>
      <c r="M233" s="110">
        <v>0</v>
      </c>
      <c r="N233" s="110">
        <v>0</v>
      </c>
      <c r="O233" s="110">
        <v>0</v>
      </c>
      <c r="P233" s="110">
        <v>0</v>
      </c>
      <c r="Q233" s="110">
        <v>0</v>
      </c>
      <c r="R233" s="110">
        <v>0</v>
      </c>
      <c r="S233" s="110">
        <v>0</v>
      </c>
      <c r="T233" s="110">
        <v>0</v>
      </c>
      <c r="V233" s="209" t="s">
        <v>71</v>
      </c>
      <c r="W233" s="110">
        <v>0</v>
      </c>
      <c r="X233" s="110">
        <f>+[33]EEFF_Vías_Chi!Y233</f>
        <v>0</v>
      </c>
    </row>
    <row r="234" spans="2:24" ht="15.5">
      <c r="B234" s="209" t="s">
        <v>73</v>
      </c>
      <c r="C234" s="110">
        <v>105</v>
      </c>
      <c r="D234" s="110">
        <v>182</v>
      </c>
      <c r="E234" s="110">
        <v>173</v>
      </c>
      <c r="F234" s="110">
        <v>165</v>
      </c>
      <c r="G234" s="110">
        <v>157</v>
      </c>
      <c r="H234" s="110">
        <v>172</v>
      </c>
      <c r="I234" s="110">
        <v>163</v>
      </c>
      <c r="J234" s="110">
        <v>160</v>
      </c>
      <c r="K234" s="110">
        <v>150</v>
      </c>
      <c r="L234" s="110">
        <v>142</v>
      </c>
      <c r="M234" s="110">
        <v>132</v>
      </c>
      <c r="N234" s="110">
        <v>149</v>
      </c>
      <c r="O234" s="110">
        <v>138</v>
      </c>
      <c r="P234" s="110">
        <v>127.437786</v>
      </c>
      <c r="Q234" s="110">
        <v>141.71082799999999</v>
      </c>
      <c r="R234" s="110">
        <v>130</v>
      </c>
      <c r="S234" s="110">
        <v>118</v>
      </c>
      <c r="T234" s="110">
        <v>106.068003</v>
      </c>
      <c r="V234" s="209" t="s">
        <v>73</v>
      </c>
      <c r="W234" s="110">
        <v>94.187059000000005</v>
      </c>
      <c r="X234" s="110">
        <f>+[33]EEFF_Vías_Chi!Y234</f>
        <v>82.306113999999994</v>
      </c>
    </row>
    <row r="235" spans="2:24" ht="15.5">
      <c r="B235" s="209" t="s">
        <v>61</v>
      </c>
      <c r="C235" s="110">
        <v>0</v>
      </c>
      <c r="D235" s="110">
        <v>0</v>
      </c>
      <c r="E235" s="110">
        <v>0</v>
      </c>
      <c r="F235" s="110">
        <v>0</v>
      </c>
      <c r="G235" s="110">
        <v>0</v>
      </c>
      <c r="H235" s="110">
        <v>0</v>
      </c>
      <c r="I235" s="110">
        <v>0</v>
      </c>
      <c r="J235" s="110">
        <v>0</v>
      </c>
      <c r="K235" s="110">
        <v>0</v>
      </c>
      <c r="L235" s="110">
        <v>0</v>
      </c>
      <c r="M235" s="110">
        <v>0</v>
      </c>
      <c r="N235" s="110">
        <v>0</v>
      </c>
      <c r="O235" s="110">
        <v>0</v>
      </c>
      <c r="P235" s="110">
        <v>0</v>
      </c>
      <c r="Q235" s="110">
        <v>0</v>
      </c>
      <c r="R235" s="110">
        <v>0</v>
      </c>
      <c r="S235" s="110">
        <v>0</v>
      </c>
      <c r="T235" s="110">
        <v>0</v>
      </c>
      <c r="V235" s="209" t="s">
        <v>61</v>
      </c>
      <c r="W235" s="110">
        <v>0</v>
      </c>
      <c r="X235" s="110">
        <f>+[33]EEFF_Vías_Chi!Y235</f>
        <v>0</v>
      </c>
    </row>
    <row r="236" spans="2:24" ht="15.5">
      <c r="B236" s="209" t="s">
        <v>74</v>
      </c>
      <c r="C236" s="110">
        <v>4049</v>
      </c>
      <c r="D236" s="110">
        <v>0</v>
      </c>
      <c r="E236" s="110">
        <v>164</v>
      </c>
      <c r="F236" s="110">
        <v>309</v>
      </c>
      <c r="G236" s="110">
        <v>559</v>
      </c>
      <c r="H236" s="110">
        <v>1608</v>
      </c>
      <c r="I236" s="110">
        <v>1624</v>
      </c>
      <c r="J236" s="110">
        <v>1841</v>
      </c>
      <c r="K236" s="110">
        <v>1756</v>
      </c>
      <c r="L236" s="110">
        <v>1843</v>
      </c>
      <c r="M236" s="110">
        <v>2213</v>
      </c>
      <c r="N236" s="110">
        <v>2542</v>
      </c>
      <c r="O236" s="110">
        <v>2889</v>
      </c>
      <c r="P236" s="110">
        <v>1512.610109</v>
      </c>
      <c r="Q236" s="110">
        <v>1459.694346</v>
      </c>
      <c r="R236" s="110">
        <v>942</v>
      </c>
      <c r="S236" s="110">
        <v>7982</v>
      </c>
      <c r="T236" s="110">
        <v>9772.8495739999998</v>
      </c>
      <c r="V236" s="209" t="s">
        <v>74</v>
      </c>
      <c r="W236" s="110">
        <v>9843.1334079999997</v>
      </c>
      <c r="X236" s="110">
        <f>+[33]EEFF_Vías_Chi!Y236</f>
        <v>12219.639773999999</v>
      </c>
    </row>
    <row r="237" spans="2:24" ht="15.5">
      <c r="B237" s="209" t="s">
        <v>75</v>
      </c>
      <c r="C237" s="110">
        <v>0</v>
      </c>
      <c r="D237" s="110">
        <v>0</v>
      </c>
      <c r="E237" s="110">
        <v>0</v>
      </c>
      <c r="F237" s="110">
        <v>0</v>
      </c>
      <c r="G237" s="110">
        <v>0</v>
      </c>
      <c r="H237" s="110">
        <v>0</v>
      </c>
      <c r="I237" s="110">
        <v>-5</v>
      </c>
      <c r="J237" s="110">
        <v>50</v>
      </c>
      <c r="K237" s="110">
        <v>43</v>
      </c>
      <c r="L237" s="110">
        <v>114</v>
      </c>
      <c r="M237" s="110">
        <v>99</v>
      </c>
      <c r="N237" s="110">
        <v>87</v>
      </c>
      <c r="O237" s="110">
        <v>99</v>
      </c>
      <c r="P237" s="110">
        <v>84.695992000000004</v>
      </c>
      <c r="Q237" s="110">
        <v>71.290600999999995</v>
      </c>
      <c r="R237" s="110">
        <v>69</v>
      </c>
      <c r="S237" s="110">
        <v>54</v>
      </c>
      <c r="T237" s="110">
        <v>39.985019999999999</v>
      </c>
      <c r="V237" s="209" t="s">
        <v>75</v>
      </c>
      <c r="W237" s="110">
        <v>26.281162999999999</v>
      </c>
      <c r="X237" s="110">
        <f>+[33]EEFF_Vías_Chi!Y237</f>
        <v>15.207227</v>
      </c>
    </row>
    <row r="238" spans="2:24" ht="15.5">
      <c r="B238" s="209" t="s">
        <v>62</v>
      </c>
      <c r="C238" s="110">
        <v>0</v>
      </c>
      <c r="D238" s="110">
        <v>0</v>
      </c>
      <c r="E238" s="110">
        <v>0</v>
      </c>
      <c r="F238" s="110">
        <v>0</v>
      </c>
      <c r="G238" s="110">
        <v>0</v>
      </c>
      <c r="H238" s="110">
        <v>0</v>
      </c>
      <c r="I238" s="110">
        <v>0</v>
      </c>
      <c r="J238" s="110">
        <v>0</v>
      </c>
      <c r="K238" s="110">
        <v>0</v>
      </c>
      <c r="L238" s="110">
        <v>0</v>
      </c>
      <c r="M238" s="110">
        <v>0</v>
      </c>
      <c r="N238" s="110">
        <v>0</v>
      </c>
      <c r="O238" s="110">
        <v>0</v>
      </c>
      <c r="P238" s="110">
        <v>0</v>
      </c>
      <c r="Q238" s="110">
        <v>0</v>
      </c>
      <c r="R238" s="110">
        <v>0</v>
      </c>
      <c r="S238" s="110">
        <v>0</v>
      </c>
      <c r="T238" s="110">
        <v>0</v>
      </c>
      <c r="V238" s="209" t="s">
        <v>62</v>
      </c>
      <c r="W238" s="110">
        <v>0</v>
      </c>
      <c r="X238" s="110">
        <f>+[33]EEFF_Vías_Chi!Y238</f>
        <v>0</v>
      </c>
    </row>
    <row r="239" spans="2:24" ht="15">
      <c r="B239" s="181" t="s">
        <v>77</v>
      </c>
      <c r="C239" s="186">
        <v>73106</v>
      </c>
      <c r="D239" s="186">
        <v>43923</v>
      </c>
      <c r="E239" s="186">
        <v>33712</v>
      </c>
      <c r="F239" s="186">
        <v>29923</v>
      </c>
      <c r="G239" s="186">
        <v>14593</v>
      </c>
      <c r="H239" s="186">
        <v>10369</v>
      </c>
      <c r="I239" s="186">
        <v>2145</v>
      </c>
      <c r="J239" s="186">
        <v>2328</v>
      </c>
      <c r="K239" s="186">
        <v>2203</v>
      </c>
      <c r="L239" s="186">
        <v>2333</v>
      </c>
      <c r="M239" s="186">
        <v>2651</v>
      </c>
      <c r="N239" s="186">
        <v>2961</v>
      </c>
      <c r="O239" s="186">
        <v>3286</v>
      </c>
      <c r="P239" s="186">
        <f>SUM(P226:P238)</f>
        <v>1867.5856709999998</v>
      </c>
      <c r="Q239" s="186">
        <f>SUM(Q226:Q238)</f>
        <v>1793.3856799999999</v>
      </c>
      <c r="R239" s="186">
        <v>1240</v>
      </c>
      <c r="S239" s="186">
        <v>8233</v>
      </c>
      <c r="T239" s="186">
        <v>9970.2904130000006</v>
      </c>
      <c r="V239" s="181" t="s">
        <v>77</v>
      </c>
      <c r="W239" s="661">
        <v>10000.631096999999</v>
      </c>
      <c r="X239" s="661">
        <f>+[33]EEFF_Vías_Chi!Y239</f>
        <v>12342.937144</v>
      </c>
    </row>
    <row r="240" spans="2:24" ht="15">
      <c r="B240" s="132" t="s">
        <v>78</v>
      </c>
      <c r="C240" s="185">
        <v>150015</v>
      </c>
      <c r="D240" s="185">
        <v>135060</v>
      </c>
      <c r="E240" s="185">
        <v>125840</v>
      </c>
      <c r="F240" s="185">
        <v>128836</v>
      </c>
      <c r="G240" s="185">
        <v>113982</v>
      </c>
      <c r="H240" s="185">
        <v>117618</v>
      </c>
      <c r="I240" s="185">
        <v>108818</v>
      </c>
      <c r="J240" s="185">
        <v>111355</v>
      </c>
      <c r="K240" s="185">
        <v>102220</v>
      </c>
      <c r="L240" s="185">
        <v>104641</v>
      </c>
      <c r="M240" s="185">
        <v>96099</v>
      </c>
      <c r="N240" s="185">
        <v>95897</v>
      </c>
      <c r="O240" s="185">
        <v>81955</v>
      </c>
      <c r="P240" s="185">
        <f>+P224+P239</f>
        <v>79114.65932799998</v>
      </c>
      <c r="Q240" s="185">
        <f>+Q224+Q239</f>
        <v>74479.761879999991</v>
      </c>
      <c r="R240" s="185">
        <v>71783</v>
      </c>
      <c r="S240" s="185">
        <v>79996</v>
      </c>
      <c r="T240" s="185">
        <v>79875.014695999984</v>
      </c>
      <c r="V240" s="132" t="s">
        <v>78</v>
      </c>
      <c r="W240" s="659">
        <v>33960.308083999997</v>
      </c>
      <c r="X240" s="659">
        <f>+[33]EEFF_Vías_Chi!Y240</f>
        <v>33469.117767000003</v>
      </c>
    </row>
    <row r="241" spans="2:24" ht="15">
      <c r="B241" s="134"/>
      <c r="C241" s="187"/>
      <c r="D241" s="187"/>
      <c r="E241" s="187"/>
      <c r="F241" s="187"/>
      <c r="G241" s="187"/>
      <c r="H241" s="187"/>
      <c r="I241" s="187"/>
      <c r="J241" s="187"/>
      <c r="K241" s="187"/>
      <c r="L241" s="187"/>
      <c r="M241" s="187"/>
      <c r="N241" s="187"/>
      <c r="O241" s="187"/>
      <c r="P241" s="187"/>
      <c r="Q241" s="187"/>
      <c r="R241" s="187"/>
      <c r="S241" s="187">
        <v>0</v>
      </c>
      <c r="T241" s="187"/>
      <c r="V241" s="134"/>
      <c r="W241" s="668"/>
      <c r="X241" s="668">
        <f>+[33]EEFF_Vías_Chi!Y241</f>
        <v>0</v>
      </c>
    </row>
    <row r="242" spans="2:24" ht="15">
      <c r="B242" s="188" t="s">
        <v>79</v>
      </c>
      <c r="C242" s="189"/>
      <c r="D242" s="189"/>
      <c r="E242" s="189"/>
      <c r="F242" s="189"/>
      <c r="G242" s="189"/>
      <c r="H242" s="189"/>
      <c r="I242" s="189"/>
      <c r="J242" s="189"/>
      <c r="K242" s="189"/>
      <c r="L242" s="189"/>
      <c r="M242" s="189"/>
      <c r="N242" s="189"/>
      <c r="O242" s="189"/>
      <c r="P242" s="189"/>
      <c r="Q242" s="189"/>
      <c r="R242" s="189"/>
      <c r="S242" s="189"/>
      <c r="T242" s="189"/>
      <c r="V242" s="188" t="s">
        <v>79</v>
      </c>
      <c r="W242" s="665"/>
      <c r="X242" s="665">
        <f>+[33]EEFF_Vías_Chi!Y242</f>
        <v>0</v>
      </c>
    </row>
    <row r="243" spans="2:24" ht="15">
      <c r="B243" s="181" t="s">
        <v>80</v>
      </c>
      <c r="C243" s="190"/>
      <c r="D243" s="190"/>
      <c r="E243" s="190"/>
      <c r="F243" s="190"/>
      <c r="G243" s="190"/>
      <c r="H243" s="190"/>
      <c r="I243" s="190"/>
      <c r="J243" s="190"/>
      <c r="K243" s="190"/>
      <c r="L243" s="190"/>
      <c r="M243" s="190"/>
      <c r="N243" s="190"/>
      <c r="O243" s="190"/>
      <c r="P243" s="190"/>
      <c r="Q243" s="190"/>
      <c r="R243" s="190"/>
      <c r="S243" s="190"/>
      <c r="T243" s="190"/>
      <c r="V243" s="181" t="s">
        <v>80</v>
      </c>
      <c r="W243" s="666"/>
      <c r="X243" s="666">
        <f>+[33]EEFF_Vías_Chi!Y243</f>
        <v>0</v>
      </c>
    </row>
    <row r="244" spans="2:24" ht="15.5">
      <c r="B244" s="209" t="s">
        <v>81</v>
      </c>
      <c r="C244" s="110">
        <v>26862</v>
      </c>
      <c r="D244" s="110">
        <v>25545</v>
      </c>
      <c r="E244" s="110">
        <v>23227</v>
      </c>
      <c r="F244" s="110">
        <v>25175</v>
      </c>
      <c r="G244" s="110">
        <v>18378</v>
      </c>
      <c r="H244" s="110">
        <v>20071</v>
      </c>
      <c r="I244" s="110">
        <v>17704</v>
      </c>
      <c r="J244" s="110">
        <v>19303</v>
      </c>
      <c r="K244" s="110">
        <v>20521</v>
      </c>
      <c r="L244" s="110">
        <v>21756</v>
      </c>
      <c r="M244" s="110">
        <v>21861</v>
      </c>
      <c r="N244" s="110">
        <v>22835</v>
      </c>
      <c r="O244" s="110">
        <v>9368</v>
      </c>
      <c r="P244" s="110">
        <v>9941.8127139999997</v>
      </c>
      <c r="Q244" s="110">
        <v>7864.3680999999997</v>
      </c>
      <c r="R244" s="110">
        <v>8341</v>
      </c>
      <c r="S244" s="110">
        <v>15954</v>
      </c>
      <c r="T244" s="110">
        <v>49698.744444999997</v>
      </c>
      <c r="V244" s="209" t="s">
        <v>81</v>
      </c>
      <c r="W244" s="110">
        <v>0</v>
      </c>
      <c r="X244" s="110">
        <f>+[33]EEFF_Vías_Chi!Y244</f>
        <v>0</v>
      </c>
    </row>
    <row r="245" spans="2:24" ht="15.5">
      <c r="B245" s="209" t="s">
        <v>82</v>
      </c>
      <c r="C245" s="110">
        <v>388</v>
      </c>
      <c r="D245" s="110">
        <v>620</v>
      </c>
      <c r="E245" s="110">
        <v>1100</v>
      </c>
      <c r="F245" s="110">
        <v>1752</v>
      </c>
      <c r="G245" s="110">
        <v>782</v>
      </c>
      <c r="H245" s="110">
        <v>958</v>
      </c>
      <c r="I245" s="110">
        <v>505</v>
      </c>
      <c r="J245" s="110">
        <v>750</v>
      </c>
      <c r="K245" s="110">
        <v>1005</v>
      </c>
      <c r="L245" s="110">
        <v>2052</v>
      </c>
      <c r="M245" s="110">
        <v>2685</v>
      </c>
      <c r="N245" s="110">
        <v>2025</v>
      </c>
      <c r="O245" s="110">
        <v>1696</v>
      </c>
      <c r="P245" s="110">
        <v>3977.6526309999999</v>
      </c>
      <c r="Q245" s="110">
        <f>8207.223311-3.539753</f>
        <v>8203.6835580000006</v>
      </c>
      <c r="R245" s="110">
        <v>6166</v>
      </c>
      <c r="S245" s="110">
        <v>5963</v>
      </c>
      <c r="T245" s="110">
        <v>4593.392296</v>
      </c>
      <c r="V245" s="209" t="s">
        <v>82</v>
      </c>
      <c r="W245" s="110">
        <v>5413.4829810000001</v>
      </c>
      <c r="X245" s="110">
        <f>+[33]EEFF_Vías_Chi!Y245</f>
        <v>5212.7364619999998</v>
      </c>
    </row>
    <row r="246" spans="2:24" ht="15.5">
      <c r="B246" s="209" t="s">
        <v>84</v>
      </c>
      <c r="C246" s="110">
        <v>26</v>
      </c>
      <c r="D246" s="110">
        <v>33</v>
      </c>
      <c r="E246" s="110">
        <v>27</v>
      </c>
      <c r="F246" s="110">
        <v>31</v>
      </c>
      <c r="G246" s="110">
        <v>35</v>
      </c>
      <c r="H246" s="110">
        <v>31</v>
      </c>
      <c r="I246" s="110">
        <v>21</v>
      </c>
      <c r="J246" s="110">
        <v>23</v>
      </c>
      <c r="K246" s="110">
        <v>24</v>
      </c>
      <c r="L246" s="110">
        <v>29</v>
      </c>
      <c r="M246" s="110">
        <v>22</v>
      </c>
      <c r="N246" s="110">
        <v>32</v>
      </c>
      <c r="O246" s="110">
        <v>31</v>
      </c>
      <c r="P246" s="110">
        <v>35.794066000000001</v>
      </c>
      <c r="Q246" s="110">
        <v>29.997641000000002</v>
      </c>
      <c r="R246" s="110">
        <v>37</v>
      </c>
      <c r="S246" s="110">
        <v>37</v>
      </c>
      <c r="T246" s="110">
        <v>38.232610000000001</v>
      </c>
      <c r="V246" s="209" t="s">
        <v>84</v>
      </c>
      <c r="W246" s="110">
        <v>32.318117999999998</v>
      </c>
      <c r="X246" s="110">
        <f>+[33]EEFF_Vías_Chi!Y246</f>
        <v>36.517426999999998</v>
      </c>
    </row>
    <row r="247" spans="2:24" ht="15.5">
      <c r="B247" s="209" t="s">
        <v>59</v>
      </c>
      <c r="C247" s="110">
        <v>881</v>
      </c>
      <c r="D247" s="110">
        <v>772</v>
      </c>
      <c r="E247" s="110">
        <v>599</v>
      </c>
      <c r="F247" s="110">
        <v>329</v>
      </c>
      <c r="G247" s="110">
        <v>2</v>
      </c>
      <c r="H247" s="110">
        <v>381</v>
      </c>
      <c r="I247" s="110">
        <v>622</v>
      </c>
      <c r="J247" s="110">
        <v>376</v>
      </c>
      <c r="K247" s="110">
        <v>447</v>
      </c>
      <c r="L247" s="110">
        <v>711</v>
      </c>
      <c r="M247" s="110">
        <v>3</v>
      </c>
      <c r="N247" s="110">
        <v>277</v>
      </c>
      <c r="O247" s="110">
        <v>4</v>
      </c>
      <c r="P247" s="110">
        <v>402.43116500000002</v>
      </c>
      <c r="Q247" s="110">
        <f>1569.5422877+3.539753</f>
        <v>1573.0820407000001</v>
      </c>
      <c r="R247" s="110">
        <v>2</v>
      </c>
      <c r="S247" s="110">
        <v>7</v>
      </c>
      <c r="T247" s="110">
        <v>0</v>
      </c>
      <c r="V247" s="209" t="s">
        <v>59</v>
      </c>
      <c r="W247" s="110">
        <v>577.08931199999995</v>
      </c>
      <c r="X247" s="110">
        <f>+[33]EEFF_Vías_Chi!Y247</f>
        <v>514.81174699999997</v>
      </c>
    </row>
    <row r="248" spans="2:24" ht="15.5">
      <c r="B248" s="209" t="s">
        <v>85</v>
      </c>
      <c r="C248" s="110">
        <v>194</v>
      </c>
      <c r="D248" s="110">
        <v>8</v>
      </c>
      <c r="E248" s="110">
        <v>0</v>
      </c>
      <c r="F248" s="110">
        <v>0</v>
      </c>
      <c r="G248" s="110">
        <v>391</v>
      </c>
      <c r="H248" s="110">
        <v>0</v>
      </c>
      <c r="I248" s="110">
        <v>817</v>
      </c>
      <c r="J248" s="110">
        <v>1142</v>
      </c>
      <c r="K248" s="110">
        <v>1204</v>
      </c>
      <c r="L248" s="110">
        <v>403</v>
      </c>
      <c r="M248" s="110">
        <v>723</v>
      </c>
      <c r="N248" s="110">
        <v>808</v>
      </c>
      <c r="O248" s="110">
        <v>712</v>
      </c>
      <c r="P248" s="110">
        <v>993.08586100000002</v>
      </c>
      <c r="Q248" s="110">
        <v>419.40636999999998</v>
      </c>
      <c r="R248" s="110">
        <v>1460</v>
      </c>
      <c r="S248" s="110">
        <v>1381</v>
      </c>
      <c r="T248" s="110">
        <v>1154.4422910000001</v>
      </c>
      <c r="V248" s="209" t="s">
        <v>85</v>
      </c>
      <c r="W248" s="110">
        <v>1706.1004029999999</v>
      </c>
      <c r="X248" s="110">
        <f>+[33]EEFF_Vías_Chi!Y248</f>
        <v>661.47561199999996</v>
      </c>
    </row>
    <row r="249" spans="2:24" ht="15.5">
      <c r="B249" s="209" t="s">
        <v>83</v>
      </c>
      <c r="C249" s="110">
        <v>814</v>
      </c>
      <c r="D249" s="110">
        <v>983</v>
      </c>
      <c r="E249" s="110">
        <v>142</v>
      </c>
      <c r="F249" s="110">
        <v>204</v>
      </c>
      <c r="G249" s="110">
        <v>269</v>
      </c>
      <c r="H249" s="110">
        <v>597</v>
      </c>
      <c r="I249" s="110">
        <v>151</v>
      </c>
      <c r="J249" s="110">
        <v>193</v>
      </c>
      <c r="K249" s="110">
        <v>241</v>
      </c>
      <c r="L249" s="110">
        <v>463</v>
      </c>
      <c r="M249" s="110">
        <v>713</v>
      </c>
      <c r="N249" s="110">
        <v>200</v>
      </c>
      <c r="O249" s="110">
        <v>245</v>
      </c>
      <c r="P249" s="110">
        <v>359.39655299999998</v>
      </c>
      <c r="Q249" s="110">
        <v>163.96799999999999</v>
      </c>
      <c r="R249" s="110">
        <v>215</v>
      </c>
      <c r="S249" s="110">
        <v>294</v>
      </c>
      <c r="T249" s="110">
        <v>527.63570000000004</v>
      </c>
      <c r="V249" s="209" t="s">
        <v>83</v>
      </c>
      <c r="W249" s="110">
        <v>178.42062300000001</v>
      </c>
      <c r="X249" s="110">
        <f>+[33]EEFF_Vías_Chi!Y249</f>
        <v>241.211052</v>
      </c>
    </row>
    <row r="250" spans="2:24" ht="15.5">
      <c r="B250" s="209" t="s">
        <v>86</v>
      </c>
      <c r="C250" s="110">
        <v>0</v>
      </c>
      <c r="D250" s="110">
        <v>0</v>
      </c>
      <c r="E250" s="110">
        <v>0</v>
      </c>
      <c r="F250" s="110">
        <v>0</v>
      </c>
      <c r="G250" s="110">
        <v>0</v>
      </c>
      <c r="H250" s="110">
        <v>0</v>
      </c>
      <c r="I250" s="110">
        <v>0</v>
      </c>
      <c r="J250" s="110">
        <v>0</v>
      </c>
      <c r="K250" s="110">
        <v>0</v>
      </c>
      <c r="L250" s="110">
        <v>0</v>
      </c>
      <c r="M250" s="110">
        <v>0</v>
      </c>
      <c r="N250" s="110">
        <v>0</v>
      </c>
      <c r="O250" s="110">
        <v>0</v>
      </c>
      <c r="P250" s="110">
        <v>3091.8369189999999</v>
      </c>
      <c r="Q250" s="110">
        <v>3197.414385</v>
      </c>
      <c r="R250" s="110">
        <v>2383</v>
      </c>
      <c r="S250" s="110">
        <v>3091</v>
      </c>
      <c r="T250" s="110">
        <v>113.973</v>
      </c>
      <c r="V250" s="209" t="s">
        <v>86</v>
      </c>
      <c r="W250" s="110">
        <v>2176.1364899999999</v>
      </c>
      <c r="X250" s="110">
        <f>+[33]EEFF_Vías_Chi!Y250</f>
        <v>0</v>
      </c>
    </row>
    <row r="251" spans="2:24" ht="15.5">
      <c r="B251" s="209" t="s">
        <v>115</v>
      </c>
      <c r="C251" s="110">
        <v>0</v>
      </c>
      <c r="D251" s="110">
        <v>0</v>
      </c>
      <c r="E251" s="110">
        <v>0</v>
      </c>
      <c r="F251" s="110">
        <v>0</v>
      </c>
      <c r="G251" s="110">
        <v>0</v>
      </c>
      <c r="H251" s="110">
        <v>0</v>
      </c>
      <c r="I251" s="110">
        <v>0</v>
      </c>
      <c r="J251" s="110">
        <v>0</v>
      </c>
      <c r="K251" s="110">
        <v>0</v>
      </c>
      <c r="L251" s="110">
        <v>0</v>
      </c>
      <c r="M251" s="110">
        <v>0</v>
      </c>
      <c r="N251" s="110">
        <v>0</v>
      </c>
      <c r="O251" s="110">
        <v>0</v>
      </c>
      <c r="P251" s="110">
        <v>0</v>
      </c>
      <c r="Q251" s="110">
        <v>0</v>
      </c>
      <c r="R251" s="110">
        <v>0</v>
      </c>
      <c r="S251" s="110">
        <v>0</v>
      </c>
      <c r="T251" s="110">
        <v>0</v>
      </c>
      <c r="V251" s="209" t="s">
        <v>115</v>
      </c>
      <c r="W251" s="110"/>
      <c r="X251" s="110">
        <f>+[33]EEFF_Vías_Chi!Y251</f>
        <v>0</v>
      </c>
    </row>
    <row r="252" spans="2:24" ht="15">
      <c r="B252" s="181" t="s">
        <v>88</v>
      </c>
      <c r="C252" s="186">
        <v>29165</v>
      </c>
      <c r="D252" s="186">
        <v>27961</v>
      </c>
      <c r="E252" s="186">
        <v>25095</v>
      </c>
      <c r="F252" s="186">
        <v>27491</v>
      </c>
      <c r="G252" s="186">
        <v>19857</v>
      </c>
      <c r="H252" s="186">
        <v>22038</v>
      </c>
      <c r="I252" s="186">
        <v>19820</v>
      </c>
      <c r="J252" s="186">
        <v>21787</v>
      </c>
      <c r="K252" s="186">
        <v>23442</v>
      </c>
      <c r="L252" s="186">
        <v>25414</v>
      </c>
      <c r="M252" s="186">
        <v>26007</v>
      </c>
      <c r="N252" s="186">
        <v>26177</v>
      </c>
      <c r="O252" s="186">
        <v>12056</v>
      </c>
      <c r="P252" s="186">
        <f>SUM(P244:P251)</f>
        <v>18802.009909</v>
      </c>
      <c r="Q252" s="186">
        <f>SUM(Q244:Q251)</f>
        <v>21451.920094700003</v>
      </c>
      <c r="R252" s="186">
        <v>18604</v>
      </c>
      <c r="S252" s="186">
        <v>26727</v>
      </c>
      <c r="T252" s="186">
        <v>56126.42034199999</v>
      </c>
      <c r="V252" s="181" t="s">
        <v>88</v>
      </c>
      <c r="W252" s="661">
        <v>10083.547927</v>
      </c>
      <c r="X252" s="661">
        <f>+[33]EEFF_Vías_Chi!Y252</f>
        <v>6666.7522999999992</v>
      </c>
    </row>
    <row r="253" spans="2:24" ht="15">
      <c r="B253" s="191" t="s">
        <v>89</v>
      </c>
      <c r="C253" s="192"/>
      <c r="D253" s="192"/>
      <c r="E253" s="192"/>
      <c r="F253" s="192"/>
      <c r="G253" s="192"/>
      <c r="H253" s="192"/>
      <c r="I253" s="192"/>
      <c r="J253" s="192"/>
      <c r="K253" s="192"/>
      <c r="L253" s="192"/>
      <c r="M253" s="192"/>
      <c r="N253" s="192"/>
      <c r="O253" s="192"/>
      <c r="P253" s="192"/>
      <c r="Q253" s="192"/>
      <c r="R253" s="192"/>
      <c r="S253" s="192"/>
      <c r="T253" s="192"/>
      <c r="V253" s="191" t="s">
        <v>89</v>
      </c>
      <c r="W253" s="662"/>
      <c r="X253" s="662">
        <f>+[33]EEFF_Vías_Chi!Y253</f>
        <v>0</v>
      </c>
    </row>
    <row r="254" spans="2:24" ht="15.5">
      <c r="B254" s="209" t="s">
        <v>81</v>
      </c>
      <c r="C254" s="110">
        <v>95874</v>
      </c>
      <c r="D254" s="110">
        <v>82408</v>
      </c>
      <c r="E254" s="110">
        <v>76134</v>
      </c>
      <c r="F254" s="110">
        <v>76709</v>
      </c>
      <c r="G254" s="110">
        <v>69631</v>
      </c>
      <c r="H254" s="110">
        <v>70138</v>
      </c>
      <c r="I254" s="110">
        <v>63599</v>
      </c>
      <c r="J254" s="110">
        <v>63823</v>
      </c>
      <c r="K254" s="110">
        <v>52484</v>
      </c>
      <c r="L254" s="110">
        <v>52799</v>
      </c>
      <c r="M254" s="110">
        <v>44322</v>
      </c>
      <c r="N254" s="110">
        <v>44755</v>
      </c>
      <c r="O254" s="110">
        <v>45575</v>
      </c>
      <c r="P254" s="110">
        <v>46191.339499000002</v>
      </c>
      <c r="Q254" s="110">
        <v>38809.803021</v>
      </c>
      <c r="R254" s="110">
        <v>39246</v>
      </c>
      <c r="S254" s="110">
        <v>31858</v>
      </c>
      <c r="T254" s="110">
        <v>0</v>
      </c>
      <c r="V254" s="209" t="s">
        <v>81</v>
      </c>
      <c r="W254" s="110">
        <v>0</v>
      </c>
      <c r="X254" s="110">
        <f>+[33]EEFF_Vías_Chi!Y254</f>
        <v>0</v>
      </c>
    </row>
    <row r="255" spans="2:24" ht="15.5">
      <c r="B255" s="209" t="s">
        <v>82</v>
      </c>
      <c r="C255" s="110">
        <v>0</v>
      </c>
      <c r="D255" s="110">
        <v>0</v>
      </c>
      <c r="E255" s="110">
        <v>0</v>
      </c>
      <c r="F255" s="110">
        <v>0</v>
      </c>
      <c r="G255" s="110">
        <v>0</v>
      </c>
      <c r="H255" s="110">
        <v>0</v>
      </c>
      <c r="I255" s="110">
        <v>0</v>
      </c>
      <c r="J255" s="110">
        <v>24</v>
      </c>
      <c r="K255" s="110">
        <v>20</v>
      </c>
      <c r="L255" s="110">
        <v>63</v>
      </c>
      <c r="M255" s="110">
        <v>49</v>
      </c>
      <c r="N255" s="110">
        <v>39</v>
      </c>
      <c r="O255" s="110">
        <v>42</v>
      </c>
      <c r="P255" s="110">
        <v>29.737808000000001</v>
      </c>
      <c r="Q255" s="110">
        <v>17.819880999999999</v>
      </c>
      <c r="R255" s="110">
        <v>8</v>
      </c>
      <c r="S255" s="110">
        <v>3</v>
      </c>
      <c r="T255" s="110">
        <v>0</v>
      </c>
      <c r="V255" s="209" t="s">
        <v>82</v>
      </c>
      <c r="W255" s="110">
        <v>0</v>
      </c>
      <c r="X255" s="110">
        <f>+[33]EEFF_Vías_Chi!Y255</f>
        <v>0</v>
      </c>
    </row>
    <row r="256" spans="2:24" ht="15.5">
      <c r="B256" s="209" t="s">
        <v>90</v>
      </c>
      <c r="C256" s="110">
        <v>0</v>
      </c>
      <c r="D256" s="110">
        <v>0</v>
      </c>
      <c r="E256" s="110">
        <v>0</v>
      </c>
      <c r="F256" s="110">
        <v>0</v>
      </c>
      <c r="G256" s="110">
        <v>0</v>
      </c>
      <c r="H256" s="110">
        <v>0</v>
      </c>
      <c r="I256" s="110">
        <v>0</v>
      </c>
      <c r="J256" s="110">
        <v>0</v>
      </c>
      <c r="K256" s="110">
        <v>0</v>
      </c>
      <c r="L256" s="110">
        <v>0</v>
      </c>
      <c r="M256" s="110">
        <v>0</v>
      </c>
      <c r="N256" s="110">
        <v>0</v>
      </c>
      <c r="O256" s="110">
        <v>0</v>
      </c>
      <c r="P256" s="110">
        <v>0</v>
      </c>
      <c r="Q256" s="110">
        <v>0</v>
      </c>
      <c r="R256" s="110">
        <v>0</v>
      </c>
      <c r="S256" s="110">
        <v>0</v>
      </c>
      <c r="T256" s="110">
        <v>0</v>
      </c>
      <c r="V256" s="209" t="s">
        <v>90</v>
      </c>
      <c r="W256" s="110">
        <v>0</v>
      </c>
      <c r="X256" s="110">
        <f>+[33]EEFF_Vías_Chi!Y256</f>
        <v>0</v>
      </c>
    </row>
    <row r="257" spans="2:24" ht="15.5">
      <c r="B257" s="209" t="s">
        <v>84</v>
      </c>
      <c r="C257" s="110">
        <v>0</v>
      </c>
      <c r="D257" s="110">
        <v>0</v>
      </c>
      <c r="E257" s="110">
        <v>0</v>
      </c>
      <c r="F257" s="110">
        <v>0</v>
      </c>
      <c r="G257" s="110">
        <v>0</v>
      </c>
      <c r="H257" s="110">
        <v>0</v>
      </c>
      <c r="I257" s="110">
        <v>0</v>
      </c>
      <c r="J257" s="110">
        <v>0</v>
      </c>
      <c r="K257" s="110">
        <v>0</v>
      </c>
      <c r="L257" s="110">
        <v>0</v>
      </c>
      <c r="M257" s="110">
        <v>0</v>
      </c>
      <c r="N257" s="110">
        <v>0</v>
      </c>
      <c r="O257" s="110">
        <v>0</v>
      </c>
      <c r="P257" s="110">
        <v>0</v>
      </c>
      <c r="Q257" s="110">
        <v>0</v>
      </c>
      <c r="R257" s="110">
        <v>0</v>
      </c>
      <c r="S257" s="110">
        <v>0</v>
      </c>
      <c r="T257" s="110">
        <v>0</v>
      </c>
      <c r="V257" s="209" t="s">
        <v>84</v>
      </c>
      <c r="W257" s="110">
        <v>0</v>
      </c>
      <c r="X257" s="110">
        <f>+[33]EEFF_Vías_Chi!Y257</f>
        <v>0</v>
      </c>
    </row>
    <row r="258" spans="2:24" ht="15.5">
      <c r="B258" s="209" t="s">
        <v>85</v>
      </c>
      <c r="C258" s="110">
        <v>0</v>
      </c>
      <c r="D258" s="110">
        <v>0</v>
      </c>
      <c r="E258" s="110">
        <v>0</v>
      </c>
      <c r="F258" s="110">
        <v>0</v>
      </c>
      <c r="G258" s="110">
        <v>0</v>
      </c>
      <c r="H258" s="110">
        <v>0</v>
      </c>
      <c r="I258" s="110">
        <v>0</v>
      </c>
      <c r="J258" s="110">
        <v>0</v>
      </c>
      <c r="K258" s="110">
        <v>0</v>
      </c>
      <c r="L258" s="110">
        <v>0</v>
      </c>
      <c r="M258" s="110">
        <v>0</v>
      </c>
      <c r="N258" s="110">
        <v>0</v>
      </c>
      <c r="O258" s="110">
        <v>0</v>
      </c>
      <c r="P258" s="110">
        <v>0</v>
      </c>
      <c r="Q258" s="110">
        <v>0</v>
      </c>
      <c r="R258" s="110">
        <v>0</v>
      </c>
      <c r="S258" s="110">
        <v>0</v>
      </c>
      <c r="T258" s="110">
        <v>0</v>
      </c>
      <c r="V258" s="209" t="s">
        <v>85</v>
      </c>
      <c r="W258" s="110">
        <v>0</v>
      </c>
      <c r="X258" s="110">
        <f>+[33]EEFF_Vías_Chi!Y258</f>
        <v>0</v>
      </c>
    </row>
    <row r="259" spans="2:24" ht="15.5">
      <c r="B259" s="209" t="s">
        <v>86</v>
      </c>
      <c r="C259" s="110">
        <v>0</v>
      </c>
      <c r="D259" s="110">
        <v>0</v>
      </c>
      <c r="E259" s="110">
        <v>0</v>
      </c>
      <c r="F259" s="110">
        <v>0</v>
      </c>
      <c r="G259" s="110">
        <v>0</v>
      </c>
      <c r="H259" s="110">
        <v>0</v>
      </c>
      <c r="I259" s="110">
        <v>0</v>
      </c>
      <c r="J259" s="110">
        <v>0</v>
      </c>
      <c r="K259" s="110">
        <v>0</v>
      </c>
      <c r="L259" s="110">
        <v>0</v>
      </c>
      <c r="M259" s="110">
        <v>0</v>
      </c>
      <c r="N259" s="110">
        <v>0</v>
      </c>
      <c r="O259" s="110">
        <v>0</v>
      </c>
      <c r="P259" s="110">
        <v>0</v>
      </c>
      <c r="Q259" s="110">
        <v>0</v>
      </c>
      <c r="R259" s="110">
        <v>0</v>
      </c>
      <c r="S259" s="110">
        <v>0</v>
      </c>
      <c r="T259" s="110">
        <v>0</v>
      </c>
      <c r="V259" s="209" t="s">
        <v>86</v>
      </c>
      <c r="W259" s="110">
        <v>0</v>
      </c>
      <c r="X259" s="110">
        <f>+[33]EEFF_Vías_Chi!Y259</f>
        <v>0</v>
      </c>
    </row>
    <row r="260" spans="2:24" ht="15.5">
      <c r="B260" s="209" t="s">
        <v>116</v>
      </c>
      <c r="C260" s="110">
        <v>0</v>
      </c>
      <c r="D260" s="110">
        <v>149</v>
      </c>
      <c r="E260" s="110">
        <v>0</v>
      </c>
      <c r="F260" s="110">
        <v>0</v>
      </c>
      <c r="G260" s="110">
        <v>0</v>
      </c>
      <c r="H260" s="110">
        <v>0</v>
      </c>
      <c r="I260" s="110">
        <v>0</v>
      </c>
      <c r="J260" s="110">
        <v>0</v>
      </c>
      <c r="K260" s="110">
        <v>0</v>
      </c>
      <c r="L260" s="110">
        <v>0</v>
      </c>
      <c r="M260" s="110">
        <v>0</v>
      </c>
      <c r="N260" s="110">
        <v>0</v>
      </c>
      <c r="O260" s="110">
        <v>0</v>
      </c>
      <c r="P260" s="110">
        <v>0</v>
      </c>
      <c r="Q260" s="110">
        <v>0</v>
      </c>
      <c r="R260" s="110">
        <v>0</v>
      </c>
      <c r="S260" s="110">
        <v>0</v>
      </c>
      <c r="T260" s="110">
        <v>0</v>
      </c>
      <c r="V260" s="209" t="s">
        <v>116</v>
      </c>
      <c r="W260" s="110">
        <v>0</v>
      </c>
      <c r="X260" s="110">
        <f>+[33]EEFF_Vías_Chi!Y260</f>
        <v>0</v>
      </c>
    </row>
    <row r="261" spans="2:24" ht="15">
      <c r="B261" s="181" t="s">
        <v>91</v>
      </c>
      <c r="C261" s="186">
        <v>95874</v>
      </c>
      <c r="D261" s="186">
        <v>82557</v>
      </c>
      <c r="E261" s="186">
        <v>76134</v>
      </c>
      <c r="F261" s="186">
        <v>76709</v>
      </c>
      <c r="G261" s="186">
        <v>69631</v>
      </c>
      <c r="H261" s="186">
        <v>70138</v>
      </c>
      <c r="I261" s="186">
        <v>63599</v>
      </c>
      <c r="J261" s="186">
        <v>63847</v>
      </c>
      <c r="K261" s="186">
        <v>52504</v>
      </c>
      <c r="L261" s="186">
        <v>52862</v>
      </c>
      <c r="M261" s="186">
        <v>44371</v>
      </c>
      <c r="N261" s="186">
        <v>44794</v>
      </c>
      <c r="O261" s="186">
        <v>45617</v>
      </c>
      <c r="P261" s="186">
        <f>SUM(P254:P260)</f>
        <v>46221.077307</v>
      </c>
      <c r="Q261" s="186">
        <f>SUM(Q254:Q260)</f>
        <v>38827.622902000003</v>
      </c>
      <c r="R261" s="186">
        <v>39254</v>
      </c>
      <c r="S261" s="186">
        <v>31861</v>
      </c>
      <c r="T261" s="186">
        <v>0</v>
      </c>
      <c r="V261" s="181" t="s">
        <v>91</v>
      </c>
      <c r="W261" s="661">
        <v>0</v>
      </c>
      <c r="X261" s="661">
        <f>+[33]EEFF_Vías_Chi!Y261</f>
        <v>0</v>
      </c>
    </row>
    <row r="262" spans="2:24" ht="15">
      <c r="B262" s="132" t="s">
        <v>92</v>
      </c>
      <c r="C262" s="185">
        <v>125039</v>
      </c>
      <c r="D262" s="185">
        <v>110518</v>
      </c>
      <c r="E262" s="185">
        <v>101229</v>
      </c>
      <c r="F262" s="185">
        <v>104200</v>
      </c>
      <c r="G262" s="185">
        <v>89488</v>
      </c>
      <c r="H262" s="185">
        <v>92176</v>
      </c>
      <c r="I262" s="185">
        <v>83419</v>
      </c>
      <c r="J262" s="185">
        <v>85634</v>
      </c>
      <c r="K262" s="185">
        <v>75946</v>
      </c>
      <c r="L262" s="185">
        <v>78276</v>
      </c>
      <c r="M262" s="185">
        <v>70378</v>
      </c>
      <c r="N262" s="185">
        <v>70971</v>
      </c>
      <c r="O262" s="185">
        <v>57673</v>
      </c>
      <c r="P262" s="185">
        <f>+P252+P261</f>
        <v>65023.087216</v>
      </c>
      <c r="Q262" s="185">
        <f>+Q252+Q261</f>
        <v>60279.542996700009</v>
      </c>
      <c r="R262" s="185">
        <v>57858</v>
      </c>
      <c r="S262" s="185">
        <v>58588</v>
      </c>
      <c r="T262" s="185">
        <v>56126.42034199999</v>
      </c>
      <c r="V262" s="132" t="s">
        <v>92</v>
      </c>
      <c r="W262" s="659">
        <v>10083.547927</v>
      </c>
      <c r="X262" s="659">
        <f>+[33]EEFF_Vías_Chi!Y262</f>
        <v>6666.7522999999992</v>
      </c>
    </row>
    <row r="263" spans="2:24" ht="15">
      <c r="B263" s="134"/>
      <c r="C263" s="187"/>
      <c r="D263" s="187"/>
      <c r="E263" s="187"/>
      <c r="F263" s="187"/>
      <c r="G263" s="187"/>
      <c r="H263" s="187"/>
      <c r="I263" s="187"/>
      <c r="J263" s="187"/>
      <c r="K263" s="187"/>
      <c r="L263" s="187"/>
      <c r="M263" s="187"/>
      <c r="N263" s="187"/>
      <c r="O263" s="187"/>
      <c r="P263" s="187"/>
      <c r="Q263" s="187"/>
      <c r="R263" s="187"/>
      <c r="S263" s="187">
        <v>0</v>
      </c>
      <c r="T263" s="187"/>
      <c r="V263" s="134"/>
      <c r="W263" s="663"/>
      <c r="X263" s="663">
        <f>+[33]EEFF_Vías_Chi!Y263</f>
        <v>0</v>
      </c>
    </row>
    <row r="264" spans="2:24" ht="15">
      <c r="B264" s="191" t="s">
        <v>93</v>
      </c>
      <c r="C264" s="192"/>
      <c r="D264" s="192"/>
      <c r="E264" s="192"/>
      <c r="F264" s="192"/>
      <c r="G264" s="192"/>
      <c r="H264" s="192"/>
      <c r="I264" s="192"/>
      <c r="J264" s="192"/>
      <c r="K264" s="192"/>
      <c r="L264" s="192"/>
      <c r="M264" s="192"/>
      <c r="N264" s="192"/>
      <c r="O264" s="192"/>
      <c r="P264" s="192"/>
      <c r="Q264" s="192"/>
      <c r="R264" s="192"/>
      <c r="S264" s="192"/>
      <c r="T264" s="192"/>
      <c r="V264" s="191" t="s">
        <v>93</v>
      </c>
      <c r="W264" s="662"/>
      <c r="X264" s="662">
        <f>+[33]EEFF_Vías_Chi!Y264</f>
        <v>0</v>
      </c>
    </row>
    <row r="265" spans="2:24" ht="15.5">
      <c r="B265" s="209" t="s">
        <v>94</v>
      </c>
      <c r="C265" s="110">
        <v>30199</v>
      </c>
      <c r="D265" s="110">
        <v>30199</v>
      </c>
      <c r="E265" s="110">
        <v>30199</v>
      </c>
      <c r="F265" s="110">
        <v>30199</v>
      </c>
      <c r="G265" s="110">
        <v>30199</v>
      </c>
      <c r="H265" s="110">
        <v>30199</v>
      </c>
      <c r="I265" s="110">
        <v>30199</v>
      </c>
      <c r="J265" s="110">
        <v>30199</v>
      </c>
      <c r="K265" s="110">
        <v>30199</v>
      </c>
      <c r="L265" s="110">
        <v>30199</v>
      </c>
      <c r="M265" s="110">
        <v>30199</v>
      </c>
      <c r="N265" s="110">
        <v>30199</v>
      </c>
      <c r="O265" s="110">
        <v>30199</v>
      </c>
      <c r="P265" s="110">
        <v>30199.025601000001</v>
      </c>
      <c r="Q265" s="110">
        <v>30199.025601000001</v>
      </c>
      <c r="R265" s="110">
        <v>30199.025601000001</v>
      </c>
      <c r="S265" s="110">
        <v>30199.025601000001</v>
      </c>
      <c r="T265" s="110">
        <v>30199.025601000001</v>
      </c>
      <c r="V265" s="209" t="s">
        <v>94</v>
      </c>
      <c r="W265" s="110">
        <v>30199.025601000001</v>
      </c>
      <c r="X265" s="110">
        <f>+[33]EEFF_Vías_Chi!Y265</f>
        <v>30199.025601000001</v>
      </c>
    </row>
    <row r="266" spans="2:24" ht="15.5">
      <c r="B266" s="209" t="s">
        <v>95</v>
      </c>
      <c r="C266" s="110">
        <v>0</v>
      </c>
      <c r="D266" s="110">
        <v>0</v>
      </c>
      <c r="E266" s="110">
        <v>0</v>
      </c>
      <c r="F266" s="110">
        <v>0</v>
      </c>
      <c r="G266" s="110">
        <v>0</v>
      </c>
      <c r="H266" s="110">
        <v>0</v>
      </c>
      <c r="I266" s="110">
        <v>0</v>
      </c>
      <c r="J266" s="110">
        <v>0</v>
      </c>
      <c r="K266" s="110">
        <v>0</v>
      </c>
      <c r="L266" s="110">
        <v>0</v>
      </c>
      <c r="M266" s="110">
        <v>0</v>
      </c>
      <c r="N266" s="110">
        <v>0</v>
      </c>
      <c r="O266" s="110">
        <v>0</v>
      </c>
      <c r="P266" s="110">
        <v>0</v>
      </c>
      <c r="Q266" s="110">
        <v>0</v>
      </c>
      <c r="R266" s="110">
        <v>0</v>
      </c>
      <c r="S266" s="110">
        <v>0</v>
      </c>
      <c r="T266" s="110">
        <v>0</v>
      </c>
      <c r="V266" s="209" t="s">
        <v>95</v>
      </c>
      <c r="W266" s="110">
        <v>0</v>
      </c>
      <c r="X266" s="110">
        <f>+[33]EEFF_Vías_Chi!Y266</f>
        <v>0</v>
      </c>
    </row>
    <row r="267" spans="2:24" ht="15.5">
      <c r="B267" s="209" t="s">
        <v>96</v>
      </c>
      <c r="C267" s="110">
        <v>0</v>
      </c>
      <c r="D267" s="110">
        <v>0</v>
      </c>
      <c r="E267" s="110">
        <v>0</v>
      </c>
      <c r="F267" s="110">
        <v>0</v>
      </c>
      <c r="G267" s="110">
        <v>0</v>
      </c>
      <c r="H267" s="110">
        <v>0</v>
      </c>
      <c r="I267" s="110">
        <v>0</v>
      </c>
      <c r="J267" s="110">
        <v>0</v>
      </c>
      <c r="K267" s="110">
        <v>0</v>
      </c>
      <c r="L267" s="110">
        <v>0</v>
      </c>
      <c r="M267" s="110">
        <v>0</v>
      </c>
      <c r="N267" s="110">
        <v>0</v>
      </c>
      <c r="O267" s="110">
        <v>0</v>
      </c>
      <c r="P267" s="110">
        <v>0</v>
      </c>
      <c r="Q267" s="110">
        <v>0</v>
      </c>
      <c r="R267" s="110">
        <v>0</v>
      </c>
      <c r="S267" s="110">
        <v>0</v>
      </c>
      <c r="T267" s="110">
        <v>0</v>
      </c>
      <c r="V267" s="209" t="s">
        <v>96</v>
      </c>
      <c r="W267" s="110">
        <v>0</v>
      </c>
      <c r="X267" s="110">
        <f>+[33]EEFF_Vías_Chi!Y267</f>
        <v>0</v>
      </c>
    </row>
    <row r="268" spans="2:24" ht="15.5">
      <c r="B268" s="209" t="s">
        <v>97</v>
      </c>
      <c r="C268" s="110">
        <v>545</v>
      </c>
      <c r="D268" s="110">
        <v>-5224</v>
      </c>
      <c r="E268" s="110">
        <v>-5657</v>
      </c>
      <c r="F268" s="110">
        <v>-5657</v>
      </c>
      <c r="G268" s="110">
        <v>-5657</v>
      </c>
      <c r="H268" s="110">
        <v>-5657</v>
      </c>
      <c r="I268" s="110">
        <v>-4756</v>
      </c>
      <c r="J268" s="110">
        <v>-4756</v>
      </c>
      <c r="K268" s="110">
        <v>-4756</v>
      </c>
      <c r="L268" s="110">
        <v>-4756</v>
      </c>
      <c r="M268" s="110">
        <v>-3834</v>
      </c>
      <c r="N268" s="110">
        <v>-3834</v>
      </c>
      <c r="O268" s="110">
        <v>-3834</v>
      </c>
      <c r="P268" s="110">
        <v>-3834.435778</v>
      </c>
      <c r="Q268" s="110">
        <v>-16107.45349</v>
      </c>
      <c r="R268" s="110">
        <v>-16107.45349</v>
      </c>
      <c r="S268" s="110">
        <v>-15333</v>
      </c>
      <c r="T268" s="110">
        <v>-15332.966490000001</v>
      </c>
      <c r="V268" s="209" t="s">
        <v>97</v>
      </c>
      <c r="W268" s="110">
        <v>-6450.4312470000004</v>
      </c>
      <c r="X268" s="110">
        <f>+[33]EEFF_Vías_Chi!Y268</f>
        <v>-6450.4312470000004</v>
      </c>
    </row>
    <row r="269" spans="2:24" ht="15.5">
      <c r="B269" s="209" t="s">
        <v>98</v>
      </c>
      <c r="C269" s="110">
        <v>-5768</v>
      </c>
      <c r="D269" s="110">
        <v>-433</v>
      </c>
      <c r="E269" s="110">
        <v>69</v>
      </c>
      <c r="F269" s="110">
        <v>94</v>
      </c>
      <c r="G269" s="110">
        <v>-48</v>
      </c>
      <c r="H269" s="110">
        <v>900</v>
      </c>
      <c r="I269" s="110">
        <v>-44</v>
      </c>
      <c r="J269" s="110">
        <v>278</v>
      </c>
      <c r="K269" s="110">
        <v>831</v>
      </c>
      <c r="L269" s="110">
        <v>922</v>
      </c>
      <c r="M269" s="110">
        <v>-644</v>
      </c>
      <c r="N269" s="110">
        <v>-1439</v>
      </c>
      <c r="O269" s="110">
        <v>-2083</v>
      </c>
      <c r="P269" s="110">
        <v>-12273.017712000001</v>
      </c>
      <c r="Q269" s="110">
        <v>108.646835</v>
      </c>
      <c r="R269" s="110">
        <v>-167</v>
      </c>
      <c r="S269" s="110">
        <v>6542</v>
      </c>
      <c r="T269" s="110">
        <v>8882.5352430000003</v>
      </c>
      <c r="V269" s="209" t="s">
        <v>98</v>
      </c>
      <c r="W269" s="110">
        <v>128.16580300000001</v>
      </c>
      <c r="X269" s="110">
        <f>+[33]EEFF_Vías_Chi!Y269</f>
        <v>3053.7711129999998</v>
      </c>
    </row>
    <row r="270" spans="2:24" ht="15.5">
      <c r="B270" s="209" t="s">
        <v>99</v>
      </c>
      <c r="C270" s="110">
        <v>0</v>
      </c>
      <c r="D270" s="110">
        <v>0</v>
      </c>
      <c r="E270" s="110">
        <v>0</v>
      </c>
      <c r="F270" s="110">
        <v>0</v>
      </c>
      <c r="G270" s="110">
        <v>0</v>
      </c>
      <c r="H270" s="110">
        <v>0</v>
      </c>
      <c r="I270" s="110">
        <v>0</v>
      </c>
      <c r="J270" s="110">
        <v>0</v>
      </c>
      <c r="K270" s="110">
        <v>0</v>
      </c>
      <c r="L270" s="110">
        <v>0</v>
      </c>
      <c r="M270" s="110">
        <v>0</v>
      </c>
      <c r="N270" s="110">
        <v>0</v>
      </c>
      <c r="O270" s="110">
        <v>0</v>
      </c>
      <c r="P270" s="110">
        <v>0</v>
      </c>
      <c r="Q270" s="110">
        <v>0</v>
      </c>
      <c r="R270" s="110">
        <v>0</v>
      </c>
      <c r="S270" s="110">
        <v>0</v>
      </c>
      <c r="T270" s="110">
        <v>0</v>
      </c>
      <c r="V270" s="209" t="s">
        <v>99</v>
      </c>
      <c r="W270" s="110">
        <v>0</v>
      </c>
      <c r="X270" s="110">
        <f>+[33]EEFF_Vías_Chi!Y270</f>
        <v>0</v>
      </c>
    </row>
    <row r="271" spans="2:24" ht="15">
      <c r="B271" s="181" t="s">
        <v>102</v>
      </c>
      <c r="C271" s="186">
        <v>24976</v>
      </c>
      <c r="D271" s="186">
        <v>24542</v>
      </c>
      <c r="E271" s="186">
        <v>24611</v>
      </c>
      <c r="F271" s="186">
        <v>24636</v>
      </c>
      <c r="G271" s="186">
        <v>24494</v>
      </c>
      <c r="H271" s="186">
        <v>25442</v>
      </c>
      <c r="I271" s="186">
        <v>25399</v>
      </c>
      <c r="J271" s="186">
        <v>25721</v>
      </c>
      <c r="K271" s="186">
        <v>26274</v>
      </c>
      <c r="L271" s="186">
        <v>26365</v>
      </c>
      <c r="M271" s="186">
        <v>25721</v>
      </c>
      <c r="N271" s="186">
        <v>24926</v>
      </c>
      <c r="O271" s="186">
        <v>24282</v>
      </c>
      <c r="P271" s="186">
        <f>SUM(P265:P270)</f>
        <v>14091.572111000001</v>
      </c>
      <c r="Q271" s="186">
        <f>SUM(Q265:Q270)</f>
        <v>14200.218946000001</v>
      </c>
      <c r="R271" s="186">
        <v>13924.572111000001</v>
      </c>
      <c r="S271" s="186">
        <v>21408.025601000001</v>
      </c>
      <c r="T271" s="186">
        <v>23748.594354000001</v>
      </c>
      <c r="V271" s="181" t="s">
        <v>102</v>
      </c>
      <c r="W271" s="661">
        <v>23876.760157000001</v>
      </c>
      <c r="X271" s="661">
        <f>+[33]EEFF_Vías_Chi!Y271</f>
        <v>26802.365467</v>
      </c>
    </row>
    <row r="272" spans="2:24" ht="15">
      <c r="B272" s="132" t="s">
        <v>103</v>
      </c>
      <c r="C272" s="185">
        <v>150015</v>
      </c>
      <c r="D272" s="185">
        <v>135060</v>
      </c>
      <c r="E272" s="185">
        <v>125840</v>
      </c>
      <c r="F272" s="185">
        <v>128836</v>
      </c>
      <c r="G272" s="185">
        <v>113982</v>
      </c>
      <c r="H272" s="185">
        <v>117618</v>
      </c>
      <c r="I272" s="185">
        <v>108818</v>
      </c>
      <c r="J272" s="185">
        <v>111355</v>
      </c>
      <c r="K272" s="185">
        <v>102220</v>
      </c>
      <c r="L272" s="185">
        <v>104641</v>
      </c>
      <c r="M272" s="185">
        <v>96099</v>
      </c>
      <c r="N272" s="185">
        <v>95897</v>
      </c>
      <c r="O272" s="185">
        <v>81955</v>
      </c>
      <c r="P272" s="185">
        <f>+P262+P271</f>
        <v>79114.659327000001</v>
      </c>
      <c r="Q272" s="185">
        <f>+Q262+Q271</f>
        <v>74479.761942700017</v>
      </c>
      <c r="R272" s="185">
        <v>71782.572111000001</v>
      </c>
      <c r="S272" s="185">
        <v>79996.025601000001</v>
      </c>
      <c r="T272" s="185">
        <v>79875.014695999998</v>
      </c>
      <c r="V272" s="132" t="s">
        <v>103</v>
      </c>
      <c r="W272" s="659">
        <v>33960.308084000004</v>
      </c>
      <c r="X272" s="659">
        <f>+[33]EEFF_Vías_Chi!Y272</f>
        <v>33469.117766999996</v>
      </c>
    </row>
    <row r="273" spans="2:24" ht="15.5">
      <c r="B273" s="143"/>
      <c r="C273" s="143"/>
      <c r="D273" s="143"/>
      <c r="E273" s="143"/>
      <c r="F273" s="143"/>
      <c r="G273" s="143"/>
      <c r="H273" s="143"/>
      <c r="I273" s="143"/>
      <c r="J273" s="143"/>
      <c r="K273" s="143"/>
      <c r="L273" s="143"/>
      <c r="M273" s="143"/>
      <c r="N273" s="143"/>
      <c r="O273" s="143"/>
      <c r="P273" s="46"/>
      <c r="Q273" s="46"/>
      <c r="X273" s="46">
        <f>+[33]EEFF_Vías_Chi!Y273</f>
        <v>0</v>
      </c>
    </row>
    <row r="274" spans="2:24" ht="15.5">
      <c r="B274" s="143"/>
      <c r="C274" s="143"/>
      <c r="D274" s="143"/>
      <c r="E274" s="143"/>
      <c r="F274" s="143"/>
      <c r="G274" s="143"/>
      <c r="H274" s="143"/>
      <c r="I274" s="143"/>
      <c r="J274" s="143"/>
      <c r="K274" s="143"/>
      <c r="L274" s="143"/>
      <c r="M274" s="143"/>
      <c r="N274" s="143"/>
      <c r="O274" s="143"/>
      <c r="P274" s="46"/>
      <c r="Q274" s="46"/>
      <c r="X274" s="46">
        <f>+[33]EEFF_Vías_Chi!Y274</f>
        <v>0</v>
      </c>
    </row>
    <row r="275" spans="2:24" ht="15.5">
      <c r="B275" s="143"/>
      <c r="C275" s="143"/>
      <c r="D275" s="143"/>
      <c r="E275" s="143"/>
      <c r="F275" s="143"/>
      <c r="G275" s="143"/>
      <c r="H275" s="143"/>
      <c r="I275" s="143"/>
      <c r="J275" s="143"/>
      <c r="K275" s="143"/>
      <c r="L275" s="143"/>
      <c r="M275" s="143"/>
      <c r="N275" s="143"/>
      <c r="O275" s="143"/>
      <c r="P275" s="46"/>
      <c r="Q275" s="46"/>
      <c r="X275" s="46">
        <f>+[33]EEFF_Vías_Chi!Y275</f>
        <v>0</v>
      </c>
    </row>
    <row r="276" spans="2:24" ht="15.5">
      <c r="B276" s="62" t="s">
        <v>364</v>
      </c>
      <c r="C276" s="33"/>
      <c r="D276" s="33"/>
      <c r="E276" s="34"/>
      <c r="F276" s="33"/>
      <c r="G276" s="33"/>
      <c r="H276" s="33"/>
      <c r="I276" s="34"/>
      <c r="J276" s="33"/>
      <c r="K276" s="33"/>
      <c r="L276" s="33"/>
      <c r="M276" s="34"/>
      <c r="N276" s="33"/>
      <c r="O276" s="33"/>
      <c r="P276" s="46"/>
      <c r="Q276" s="46"/>
      <c r="X276" s="46">
        <f>+[33]EEFF_Vías_Chi!Y276</f>
        <v>0</v>
      </c>
    </row>
    <row r="277" spans="2:24" ht="15.5">
      <c r="B277" s="165" t="s">
        <v>356</v>
      </c>
      <c r="C277" s="143"/>
      <c r="D277" s="143"/>
      <c r="E277" s="143"/>
      <c r="F277" s="143"/>
      <c r="G277" s="143"/>
      <c r="H277" s="143"/>
      <c r="I277" s="143"/>
      <c r="J277" s="143"/>
      <c r="K277" s="143"/>
      <c r="L277" s="143"/>
      <c r="M277" s="143"/>
      <c r="N277" s="143"/>
      <c r="O277" s="143"/>
      <c r="P277" s="46"/>
      <c r="Q277" s="46"/>
      <c r="X277" s="46">
        <f>+[33]EEFF_Vías_Chi!Y277</f>
        <v>0</v>
      </c>
    </row>
    <row r="278" spans="2:24" ht="7.5" customHeight="1">
      <c r="B278" s="35"/>
      <c r="C278" s="35"/>
      <c r="D278" s="35"/>
      <c r="E278" s="35"/>
      <c r="F278" s="35"/>
      <c r="G278" s="35"/>
      <c r="H278" s="35"/>
      <c r="I278" s="35"/>
      <c r="J278" s="35"/>
      <c r="K278" s="35"/>
      <c r="L278" s="35"/>
      <c r="M278" s="35"/>
      <c r="N278" s="35"/>
      <c r="O278" s="35"/>
      <c r="P278" s="46"/>
      <c r="Q278" s="46"/>
      <c r="X278" s="46">
        <f>+[33]EEFF_Vías_Chi!Y278</f>
        <v>0</v>
      </c>
    </row>
    <row r="279" spans="2:24" ht="15">
      <c r="B279" s="148"/>
      <c r="C279" s="149">
        <v>2016</v>
      </c>
      <c r="D279" s="149">
        <v>2017</v>
      </c>
      <c r="E279" s="149" t="s">
        <v>19</v>
      </c>
      <c r="F279" s="149" t="s">
        <v>20</v>
      </c>
      <c r="G279" s="149" t="s">
        <v>21</v>
      </c>
      <c r="H279" s="149" t="s">
        <v>22</v>
      </c>
      <c r="I279" s="149" t="s">
        <v>23</v>
      </c>
      <c r="J279" s="149" t="s">
        <v>24</v>
      </c>
      <c r="K279" s="149" t="s">
        <v>25</v>
      </c>
      <c r="L279" s="149" t="s">
        <v>26</v>
      </c>
      <c r="M279" s="149" t="s">
        <v>27</v>
      </c>
      <c r="N279" s="149" t="s">
        <v>28</v>
      </c>
      <c r="O279" s="149" t="s">
        <v>29</v>
      </c>
      <c r="P279" s="340" t="s">
        <v>722</v>
      </c>
      <c r="Q279" s="340" t="s">
        <v>739</v>
      </c>
      <c r="R279" s="340" t="s">
        <v>912</v>
      </c>
      <c r="S279" s="340" t="s">
        <v>1051</v>
      </c>
      <c r="T279" s="340" t="s">
        <v>1089</v>
      </c>
      <c r="V279" s="282"/>
      <c r="W279" s="654" t="s">
        <v>1109</v>
      </c>
      <c r="X279" s="654" t="str">
        <f>+[33]EEFF_Vías_Chi!Y279</f>
        <v>2T22</v>
      </c>
    </row>
    <row r="280" spans="2:24" ht="2.5" customHeight="1">
      <c r="B280" s="150"/>
      <c r="C280" s="35"/>
      <c r="D280" s="35"/>
      <c r="E280" s="35"/>
      <c r="F280" s="35"/>
      <c r="G280" s="35"/>
      <c r="H280" s="35"/>
      <c r="I280" s="35"/>
      <c r="J280" s="35"/>
      <c r="K280" s="35"/>
      <c r="L280" s="35"/>
      <c r="M280" s="35"/>
      <c r="N280" s="35"/>
      <c r="O280" s="35"/>
      <c r="P280" s="46"/>
      <c r="Q280" s="46"/>
      <c r="S280" s="46">
        <v>386</v>
      </c>
      <c r="T280" s="46"/>
      <c r="V280" s="46"/>
      <c r="W280" s="653"/>
      <c r="X280" s="653">
        <f>+[33]EEFF_Vías_Chi!Y280</f>
        <v>0</v>
      </c>
    </row>
    <row r="281" spans="2:24" ht="15.5">
      <c r="B281" s="83" t="s">
        <v>30</v>
      </c>
      <c r="C281" s="118">
        <v>65</v>
      </c>
      <c r="D281" s="118">
        <v>120</v>
      </c>
      <c r="E281" s="118">
        <v>105</v>
      </c>
      <c r="F281" s="118">
        <v>12</v>
      </c>
      <c r="G281" s="118">
        <v>138</v>
      </c>
      <c r="H281" s="118">
        <v>168</v>
      </c>
      <c r="I281" s="118">
        <v>1393</v>
      </c>
      <c r="J281" s="118">
        <v>717</v>
      </c>
      <c r="K281" s="118">
        <v>756</v>
      </c>
      <c r="L281" s="118">
        <v>1676</v>
      </c>
      <c r="M281" s="118">
        <v>37</v>
      </c>
      <c r="N281" s="118">
        <v>224</v>
      </c>
      <c r="O281" s="118">
        <v>141</v>
      </c>
      <c r="P281" s="118">
        <v>1015.343393</v>
      </c>
      <c r="Q281" s="118">
        <v>-425.63460600000002</v>
      </c>
      <c r="R281" s="118">
        <v>398.63460600000002</v>
      </c>
      <c r="S281" s="118">
        <v>310</v>
      </c>
      <c r="T281" s="118">
        <v>1360.753031</v>
      </c>
      <c r="V281" s="83" t="s">
        <v>30</v>
      </c>
      <c r="W281" s="118">
        <v>4107.2434359999997</v>
      </c>
      <c r="X281" s="118">
        <f>+[33]EEFF_Vías_Chi!Y281</f>
        <v>7474.8156929999996</v>
      </c>
    </row>
    <row r="282" spans="2:24" ht="15.5">
      <c r="B282" s="83" t="s">
        <v>31</v>
      </c>
      <c r="C282" s="118">
        <v>58</v>
      </c>
      <c r="D282" s="118">
        <v>106</v>
      </c>
      <c r="E282" s="118">
        <v>93</v>
      </c>
      <c r="F282" s="118">
        <v>10</v>
      </c>
      <c r="G282" s="118">
        <v>123</v>
      </c>
      <c r="H282" s="118">
        <v>149</v>
      </c>
      <c r="I282" s="118">
        <v>1233</v>
      </c>
      <c r="J282" s="118">
        <v>635</v>
      </c>
      <c r="K282" s="118">
        <v>669</v>
      </c>
      <c r="L282" s="118">
        <v>1483</v>
      </c>
      <c r="M282" s="118">
        <v>32</v>
      </c>
      <c r="N282" s="118">
        <v>195</v>
      </c>
      <c r="O282" s="118">
        <v>122</v>
      </c>
      <c r="P282" s="118">
        <v>882.90729899999997</v>
      </c>
      <c r="Q282" s="118">
        <v>370.11704800000001</v>
      </c>
      <c r="R282" s="118">
        <v>-346.11704800000001</v>
      </c>
      <c r="S282" s="118">
        <v>222</v>
      </c>
      <c r="T282" s="118">
        <v>1230.828722</v>
      </c>
      <c r="V282" s="83" t="s">
        <v>31</v>
      </c>
      <c r="W282" s="118">
        <v>3571.5160310000001</v>
      </c>
      <c r="X282" s="118">
        <f>+[33]EEFF_Vías_Chi!Y282</f>
        <v>6499.8397329999998</v>
      </c>
    </row>
    <row r="283" spans="2:24" ht="15.5">
      <c r="B283" s="142" t="s">
        <v>32</v>
      </c>
      <c r="C283" s="151">
        <v>7</v>
      </c>
      <c r="D283" s="151">
        <v>14</v>
      </c>
      <c r="E283" s="151">
        <v>12</v>
      </c>
      <c r="F283" s="151">
        <v>2</v>
      </c>
      <c r="G283" s="151">
        <v>15</v>
      </c>
      <c r="H283" s="151">
        <v>19</v>
      </c>
      <c r="I283" s="151">
        <v>160</v>
      </c>
      <c r="J283" s="151">
        <v>82</v>
      </c>
      <c r="K283" s="151">
        <v>87</v>
      </c>
      <c r="L283" s="151">
        <v>193</v>
      </c>
      <c r="M283" s="151">
        <v>5</v>
      </c>
      <c r="N283" s="151">
        <v>29</v>
      </c>
      <c r="O283" s="151">
        <v>19</v>
      </c>
      <c r="P283" s="151">
        <v>132.43609400000003</v>
      </c>
      <c r="Q283" s="151">
        <f>+Q281+Q282</f>
        <v>-55.517558000000008</v>
      </c>
      <c r="R283" s="151">
        <v>52.517558000000008</v>
      </c>
      <c r="S283" s="151">
        <v>88</v>
      </c>
      <c r="T283" s="151">
        <v>129.92430899999999</v>
      </c>
      <c r="V283" s="142" t="s">
        <v>1129</v>
      </c>
      <c r="W283" s="151">
        <v>535.72740499999964</v>
      </c>
      <c r="X283" s="151">
        <f>+[33]EEFF_Vías_Chi!Y283</f>
        <v>974.97595999999976</v>
      </c>
    </row>
    <row r="284" spans="2:24" ht="7.5" customHeight="1">
      <c r="B284" s="83"/>
      <c r="C284" s="118"/>
      <c r="D284" s="118"/>
      <c r="E284" s="118"/>
      <c r="F284" s="118"/>
      <c r="G284" s="118"/>
      <c r="H284" s="118"/>
      <c r="I284" s="118"/>
      <c r="J284" s="118"/>
      <c r="K284" s="118"/>
      <c r="L284" s="118"/>
      <c r="M284" s="118"/>
      <c r="N284" s="118"/>
      <c r="O284" s="118"/>
      <c r="P284" s="118"/>
      <c r="Q284" s="118"/>
      <c r="R284" s="118"/>
      <c r="S284" s="118">
        <v>0</v>
      </c>
      <c r="T284" s="118"/>
      <c r="V284" s="46"/>
      <c r="W284" s="118"/>
      <c r="X284" s="118">
        <f>+[33]EEFF_Vías_Chi!Y284</f>
        <v>0</v>
      </c>
    </row>
    <row r="285" spans="2:24" ht="15.5">
      <c r="B285" s="83" t="s">
        <v>357</v>
      </c>
      <c r="C285" s="118">
        <v>9556</v>
      </c>
      <c r="D285" s="118">
        <v>8502</v>
      </c>
      <c r="E285" s="118">
        <v>3058</v>
      </c>
      <c r="F285" s="118">
        <v>2083</v>
      </c>
      <c r="G285" s="118">
        <v>1675</v>
      </c>
      <c r="H285" s="118">
        <v>2351</v>
      </c>
      <c r="I285" s="118">
        <v>3526</v>
      </c>
      <c r="J285" s="118">
        <v>2027</v>
      </c>
      <c r="K285" s="118">
        <v>1726</v>
      </c>
      <c r="L285" s="118">
        <v>2225</v>
      </c>
      <c r="M285" s="118">
        <v>3704</v>
      </c>
      <c r="N285" s="118">
        <v>2436</v>
      </c>
      <c r="O285" s="118">
        <v>1830</v>
      </c>
      <c r="P285" s="118">
        <v>2723.318949</v>
      </c>
      <c r="Q285" s="118">
        <v>3415.3201469999999</v>
      </c>
      <c r="R285" s="118">
        <v>2324.6798530000001</v>
      </c>
      <c r="S285" s="118">
        <v>2519</v>
      </c>
      <c r="T285" s="118">
        <v>9145.3632689999995</v>
      </c>
      <c r="V285" s="83" t="s">
        <v>357</v>
      </c>
      <c r="W285" s="118">
        <v>4839.7960149999999</v>
      </c>
      <c r="X285" s="118">
        <f>+[33]EEFF_Vías_Chi!Y285</f>
        <v>2593.6193430000003</v>
      </c>
    </row>
    <row r="286" spans="2:24" ht="15.5">
      <c r="B286" s="83" t="s">
        <v>358</v>
      </c>
      <c r="C286" s="118">
        <v>15216</v>
      </c>
      <c r="D286" s="118">
        <v>11612</v>
      </c>
      <c r="E286" s="118">
        <v>2726</v>
      </c>
      <c r="F286" s="118">
        <v>2041</v>
      </c>
      <c r="G286" s="118">
        <v>1993</v>
      </c>
      <c r="H286" s="118">
        <v>1908</v>
      </c>
      <c r="I286" s="118">
        <v>2707</v>
      </c>
      <c r="J286" s="118">
        <v>2657</v>
      </c>
      <c r="K286" s="118">
        <v>2596</v>
      </c>
      <c r="L286" s="118">
        <v>2453</v>
      </c>
      <c r="M286" s="118">
        <v>2271</v>
      </c>
      <c r="N286" s="118">
        <v>1641</v>
      </c>
      <c r="O286" s="118">
        <v>938</v>
      </c>
      <c r="P286" s="118">
        <v>-564.52588099999991</v>
      </c>
      <c r="Q286" s="118">
        <v>918.475189</v>
      </c>
      <c r="R286" s="118">
        <v>587.524811</v>
      </c>
      <c r="S286" s="118">
        <v>810</v>
      </c>
      <c r="T286" s="118">
        <v>5981.2693849999996</v>
      </c>
      <c r="V286" s="83" t="s">
        <v>358</v>
      </c>
      <c r="W286" s="118">
        <v>1158.8954659999999</v>
      </c>
      <c r="X286" s="118">
        <f>+[33]EEFF_Vías_Chi!Y286</f>
        <v>2144.6996020000001</v>
      </c>
    </row>
    <row r="287" spans="2:24" ht="15.5">
      <c r="B287" s="83" t="s">
        <v>39</v>
      </c>
      <c r="C287" s="118">
        <v>0</v>
      </c>
      <c r="D287" s="118">
        <v>0</v>
      </c>
      <c r="E287" s="118">
        <v>0</v>
      </c>
      <c r="F287" s="118">
        <v>0</v>
      </c>
      <c r="G287" s="118">
        <v>0</v>
      </c>
      <c r="H287" s="118">
        <v>0</v>
      </c>
      <c r="I287" s="118">
        <v>0</v>
      </c>
      <c r="J287" s="118">
        <v>0</v>
      </c>
      <c r="K287" s="118">
        <v>0</v>
      </c>
      <c r="L287" s="118">
        <v>0</v>
      </c>
      <c r="M287" s="118">
        <v>0</v>
      </c>
      <c r="N287" s="118">
        <v>0</v>
      </c>
      <c r="O287" s="118">
        <v>0</v>
      </c>
      <c r="P287" s="118">
        <v>0</v>
      </c>
      <c r="Q287" s="118">
        <v>0</v>
      </c>
      <c r="R287" s="118">
        <v>0</v>
      </c>
      <c r="S287" s="118">
        <v>0</v>
      </c>
      <c r="T287" s="118">
        <v>0</v>
      </c>
      <c r="V287" s="83" t="s">
        <v>39</v>
      </c>
      <c r="W287" s="118">
        <v>0</v>
      </c>
      <c r="X287" s="118">
        <f>+[33]EEFF_Vías_Chi!Y287</f>
        <v>0</v>
      </c>
    </row>
    <row r="288" spans="2:24" ht="15.5">
      <c r="B288" s="83" t="s">
        <v>40</v>
      </c>
      <c r="C288" s="118">
        <v>9020</v>
      </c>
      <c r="D288" s="118">
        <v>8023</v>
      </c>
      <c r="E288" s="118">
        <v>2885</v>
      </c>
      <c r="F288" s="118">
        <v>1973</v>
      </c>
      <c r="G288" s="118">
        <v>1591</v>
      </c>
      <c r="H288" s="118">
        <v>2249</v>
      </c>
      <c r="I288" s="118">
        <v>3341</v>
      </c>
      <c r="J288" s="118">
        <v>1932</v>
      </c>
      <c r="K288" s="118">
        <v>1650</v>
      </c>
      <c r="L288" s="118">
        <v>2122</v>
      </c>
      <c r="M288" s="118">
        <v>3479</v>
      </c>
      <c r="N288" s="118">
        <v>2277</v>
      </c>
      <c r="O288" s="118">
        <v>1717</v>
      </c>
      <c r="P288" s="118">
        <v>2521.591617</v>
      </c>
      <c r="Q288" s="118">
        <v>3162.3334690000002</v>
      </c>
      <c r="R288" s="118">
        <v>2153.6665309999998</v>
      </c>
      <c r="S288" s="118">
        <v>2331</v>
      </c>
      <c r="T288" s="118">
        <v>8469.3363599999993</v>
      </c>
      <c r="V288" s="83" t="s">
        <v>40</v>
      </c>
      <c r="W288" s="118">
        <v>4481.2926070000003</v>
      </c>
      <c r="X288" s="118">
        <f>+[33]EEFF_Vías_Chi!Y288</f>
        <v>2401.4993910000003</v>
      </c>
    </row>
    <row r="289" spans="2:24" ht="15.5">
      <c r="B289" s="142" t="s">
        <v>41</v>
      </c>
      <c r="C289" s="151">
        <v>15752</v>
      </c>
      <c r="D289" s="151">
        <v>12091</v>
      </c>
      <c r="E289" s="151">
        <v>2899</v>
      </c>
      <c r="F289" s="151">
        <v>2151</v>
      </c>
      <c r="G289" s="151">
        <v>2077</v>
      </c>
      <c r="H289" s="151">
        <v>2010</v>
      </c>
      <c r="I289" s="151">
        <v>2892</v>
      </c>
      <c r="J289" s="151">
        <v>2752</v>
      </c>
      <c r="K289" s="151">
        <v>2672</v>
      </c>
      <c r="L289" s="151">
        <v>2556</v>
      </c>
      <c r="M289" s="151">
        <v>2496</v>
      </c>
      <c r="N289" s="151">
        <v>1800</v>
      </c>
      <c r="O289" s="151">
        <v>1051</v>
      </c>
      <c r="P289" s="151">
        <v>-362.79854900000009</v>
      </c>
      <c r="Q289" s="151">
        <f>+Q285+Q286+Q287-Q288</f>
        <v>1171.461867</v>
      </c>
      <c r="R289" s="151">
        <v>758.53813300000002</v>
      </c>
      <c r="S289" s="151">
        <v>998</v>
      </c>
      <c r="T289" s="151">
        <v>6657.2962939999998</v>
      </c>
      <c r="V289" s="83" t="s">
        <v>43</v>
      </c>
      <c r="W289" s="118">
        <v>46.526553999999997</v>
      </c>
      <c r="X289" s="118">
        <f>+[33]EEFF_Vías_Chi!Y289</f>
        <v>37.225268000000007</v>
      </c>
    </row>
    <row r="290" spans="2:24" ht="15.5">
      <c r="B290" s="85" t="s">
        <v>42</v>
      </c>
      <c r="C290" s="119">
        <v>15759</v>
      </c>
      <c r="D290" s="119">
        <v>12105</v>
      </c>
      <c r="E290" s="119">
        <v>2911</v>
      </c>
      <c r="F290" s="119">
        <v>2153</v>
      </c>
      <c r="G290" s="119">
        <v>2092</v>
      </c>
      <c r="H290" s="119">
        <v>2029</v>
      </c>
      <c r="I290" s="119">
        <v>3052</v>
      </c>
      <c r="J290" s="119">
        <v>2834</v>
      </c>
      <c r="K290" s="119">
        <v>2759</v>
      </c>
      <c r="L290" s="119">
        <v>2749</v>
      </c>
      <c r="M290" s="119">
        <v>2501</v>
      </c>
      <c r="N290" s="119">
        <v>1829</v>
      </c>
      <c r="O290" s="119">
        <v>1070</v>
      </c>
      <c r="P290" s="119">
        <v>-230.36245500000007</v>
      </c>
      <c r="Q290" s="119">
        <f>+Q283+Q289</f>
        <v>1115.944309</v>
      </c>
      <c r="R290" s="119">
        <v>811.05569100000002</v>
      </c>
      <c r="S290" s="119">
        <v>1086</v>
      </c>
      <c r="T290" s="119">
        <v>6787.2206029999998</v>
      </c>
      <c r="V290" s="85" t="s">
        <v>1130</v>
      </c>
      <c r="W290" s="119">
        <v>2006.5997249999991</v>
      </c>
      <c r="X290" s="119">
        <f>+[33]EEFF_Vías_Chi!Y290</f>
        <v>3274.5702460000002</v>
      </c>
    </row>
    <row r="291" spans="2:24" ht="15.5">
      <c r="B291" s="82"/>
      <c r="C291" s="9"/>
      <c r="D291" s="9"/>
      <c r="E291" s="9"/>
      <c r="F291" s="9"/>
      <c r="G291" s="9"/>
      <c r="H291" s="9"/>
      <c r="I291" s="9"/>
      <c r="J291" s="9"/>
      <c r="K291" s="9"/>
      <c r="L291" s="9"/>
      <c r="M291" s="9"/>
      <c r="N291" s="9"/>
      <c r="O291" s="9"/>
      <c r="P291" s="9"/>
      <c r="Q291" s="9"/>
      <c r="R291" s="9"/>
      <c r="S291" s="9"/>
      <c r="T291" s="9"/>
      <c r="V291" s="46"/>
      <c r="W291" s="9"/>
      <c r="X291" s="9">
        <f>+[33]EEFF_Vías_Chi!Y291</f>
        <v>0</v>
      </c>
    </row>
    <row r="292" spans="2:24" ht="15.5">
      <c r="B292" s="83" t="s">
        <v>43</v>
      </c>
      <c r="C292" s="118">
        <v>50</v>
      </c>
      <c r="D292" s="118">
        <v>61</v>
      </c>
      <c r="E292" s="118">
        <v>20</v>
      </c>
      <c r="F292" s="118">
        <v>18</v>
      </c>
      <c r="G292" s="118">
        <v>17</v>
      </c>
      <c r="H292" s="118">
        <v>19</v>
      </c>
      <c r="I292" s="118">
        <v>20</v>
      </c>
      <c r="J292" s="118">
        <v>31</v>
      </c>
      <c r="K292" s="118">
        <v>34</v>
      </c>
      <c r="L292" s="118">
        <v>35</v>
      </c>
      <c r="M292" s="118">
        <v>35</v>
      </c>
      <c r="N292" s="118">
        <v>38</v>
      </c>
      <c r="O292" s="118">
        <v>41</v>
      </c>
      <c r="P292" s="118">
        <v>38.307843999999996</v>
      </c>
      <c r="Q292" s="118">
        <v>36.904197000000003</v>
      </c>
      <c r="R292" s="118">
        <v>41.095802999999997</v>
      </c>
      <c r="S292" s="118">
        <v>30</v>
      </c>
      <c r="T292" s="118">
        <v>114.575053</v>
      </c>
      <c r="V292" s="46"/>
      <c r="W292" s="118"/>
      <c r="X292" s="118">
        <f>+[33]EEFF_Vías_Chi!Y292</f>
        <v>0</v>
      </c>
    </row>
    <row r="293" spans="2:24" ht="15.5">
      <c r="B293" s="83" t="s">
        <v>44</v>
      </c>
      <c r="C293" s="118">
        <v>0</v>
      </c>
      <c r="D293" s="118">
        <v>0</v>
      </c>
      <c r="E293" s="118">
        <v>0</v>
      </c>
      <c r="F293" s="118">
        <v>0</v>
      </c>
      <c r="G293" s="118">
        <v>0</v>
      </c>
      <c r="H293" s="118">
        <v>0</v>
      </c>
      <c r="I293" s="118">
        <v>0</v>
      </c>
      <c r="J293" s="118">
        <v>0</v>
      </c>
      <c r="K293" s="118">
        <v>0</v>
      </c>
      <c r="L293" s="118">
        <v>0</v>
      </c>
      <c r="M293" s="118">
        <v>0</v>
      </c>
      <c r="N293" s="118">
        <v>0</v>
      </c>
      <c r="O293" s="118">
        <v>0</v>
      </c>
      <c r="P293" s="118"/>
      <c r="Q293" s="118"/>
      <c r="R293" s="118"/>
      <c r="S293" s="118">
        <v>0</v>
      </c>
      <c r="T293" s="118"/>
      <c r="V293" s="44" t="s">
        <v>44</v>
      </c>
      <c r="W293" s="118">
        <v>0</v>
      </c>
      <c r="X293" s="118">
        <f>+[33]EEFF_Vías_Chi!Y293</f>
        <v>0</v>
      </c>
    </row>
    <row r="294" spans="2:24" ht="15.5">
      <c r="B294" s="83" t="s">
        <v>45</v>
      </c>
      <c r="C294" s="118">
        <v>-85</v>
      </c>
      <c r="D294" s="118">
        <v>45</v>
      </c>
      <c r="E294" s="118">
        <v>0</v>
      </c>
      <c r="F294" s="118">
        <v>12</v>
      </c>
      <c r="G294" s="118">
        <v>1</v>
      </c>
      <c r="H294" s="118">
        <v>1</v>
      </c>
      <c r="I294" s="118">
        <v>0</v>
      </c>
      <c r="J294" s="118">
        <v>4</v>
      </c>
      <c r="K294" s="118">
        <v>69</v>
      </c>
      <c r="L294" s="118">
        <v>14</v>
      </c>
      <c r="M294" s="118">
        <v>2</v>
      </c>
      <c r="N294" s="118">
        <v>-26</v>
      </c>
      <c r="O294" s="118">
        <v>29</v>
      </c>
      <c r="P294" s="118">
        <v>-20.576566</v>
      </c>
      <c r="Q294" s="118">
        <v>-31.001110000000001</v>
      </c>
      <c r="R294" s="118">
        <v>-21.998889999999999</v>
      </c>
      <c r="S294" s="118">
        <v>-11</v>
      </c>
      <c r="T294" s="118">
        <v>-78.663625999999994</v>
      </c>
      <c r="V294" s="44" t="s">
        <v>45</v>
      </c>
      <c r="W294" s="118">
        <v>28.112607000000001</v>
      </c>
      <c r="X294" s="118">
        <f>+[33]EEFF_Vías_Chi!Y294</f>
        <v>-24.084299999999999</v>
      </c>
    </row>
    <row r="295" spans="2:24" ht="15.5">
      <c r="B295" s="85" t="s">
        <v>46</v>
      </c>
      <c r="C295" s="120">
        <v>15624</v>
      </c>
      <c r="D295" s="120">
        <v>12089</v>
      </c>
      <c r="E295" s="120">
        <v>2891</v>
      </c>
      <c r="F295" s="120">
        <v>2147</v>
      </c>
      <c r="G295" s="120">
        <v>2076</v>
      </c>
      <c r="H295" s="120">
        <v>2011</v>
      </c>
      <c r="I295" s="120">
        <v>3032</v>
      </c>
      <c r="J295" s="120">
        <v>2807</v>
      </c>
      <c r="K295" s="120">
        <v>2794</v>
      </c>
      <c r="L295" s="120">
        <v>2728</v>
      </c>
      <c r="M295" s="120">
        <v>2468</v>
      </c>
      <c r="N295" s="120">
        <v>1765</v>
      </c>
      <c r="O295" s="120">
        <v>1058</v>
      </c>
      <c r="P295" s="120">
        <v>-289.24686500000007</v>
      </c>
      <c r="Q295" s="120">
        <f>+Q290-Q292+Q293+Q294</f>
        <v>1048.039002</v>
      </c>
      <c r="R295" s="120">
        <v>747.96099800000002</v>
      </c>
      <c r="S295" s="120">
        <v>1045</v>
      </c>
      <c r="T295" s="120">
        <v>6593.9819240000006</v>
      </c>
      <c r="V295" s="253" t="s">
        <v>46</v>
      </c>
      <c r="W295" s="120">
        <v>2034.7123319999992</v>
      </c>
      <c r="X295" s="120">
        <f>+[33]EEFF_Vías_Chi!Y295</f>
        <v>3250.4859460000002</v>
      </c>
    </row>
    <row r="296" spans="2:24" ht="15.5">
      <c r="B296" s="83"/>
      <c r="C296" s="118"/>
      <c r="D296" s="118"/>
      <c r="E296" s="118"/>
      <c r="F296" s="118"/>
      <c r="G296" s="118"/>
      <c r="H296" s="118"/>
      <c r="I296" s="118"/>
      <c r="J296" s="118"/>
      <c r="K296" s="118"/>
      <c r="L296" s="118"/>
      <c r="M296" s="118"/>
      <c r="N296" s="118"/>
      <c r="O296" s="118"/>
      <c r="P296" s="118"/>
      <c r="Q296" s="118"/>
      <c r="R296" s="118"/>
      <c r="S296" s="118">
        <v>0</v>
      </c>
      <c r="T296" s="118"/>
      <c r="V296" s="44"/>
      <c r="W296" s="118"/>
      <c r="X296" s="118">
        <f>+[33]EEFF_Vías_Chi!Y296</f>
        <v>0</v>
      </c>
    </row>
    <row r="297" spans="2:24" ht="15.5">
      <c r="B297" s="83" t="s">
        <v>47</v>
      </c>
      <c r="C297" s="118">
        <v>-5609</v>
      </c>
      <c r="D297" s="118">
        <v>-3906</v>
      </c>
      <c r="E297" s="118">
        <v>-720</v>
      </c>
      <c r="F297" s="118">
        <v>-829</v>
      </c>
      <c r="G297" s="118">
        <v>-753</v>
      </c>
      <c r="H297" s="118">
        <v>-663</v>
      </c>
      <c r="I297" s="118">
        <v>-835</v>
      </c>
      <c r="J297" s="118">
        <v>-750</v>
      </c>
      <c r="K297" s="118">
        <v>-727</v>
      </c>
      <c r="L297" s="118">
        <v>-506</v>
      </c>
      <c r="M297" s="118">
        <v>-619</v>
      </c>
      <c r="N297" s="118">
        <v>-606</v>
      </c>
      <c r="O297" s="118">
        <v>-549</v>
      </c>
      <c r="P297" s="118">
        <v>-619.42520399999989</v>
      </c>
      <c r="Q297" s="118">
        <f>328.430663-Q286</f>
        <v>-590.04452600000002</v>
      </c>
      <c r="R297" s="118">
        <v>-532.95547399999998</v>
      </c>
      <c r="S297" s="118">
        <v>-509</v>
      </c>
      <c r="T297" s="118">
        <v>-1942.4228720000001</v>
      </c>
      <c r="V297" s="44" t="s">
        <v>47</v>
      </c>
      <c r="W297" s="118">
        <v>-468.56694099999993</v>
      </c>
      <c r="X297" s="118">
        <f>+[33]EEFF_Vías_Chi!Y297</f>
        <v>1454.953035</v>
      </c>
    </row>
    <row r="298" spans="2:24" ht="15.5">
      <c r="B298" s="85" t="s">
        <v>48</v>
      </c>
      <c r="C298" s="120">
        <v>10015</v>
      </c>
      <c r="D298" s="120">
        <v>8183</v>
      </c>
      <c r="E298" s="120">
        <v>2171</v>
      </c>
      <c r="F298" s="120">
        <v>1318</v>
      </c>
      <c r="G298" s="120">
        <v>1323</v>
      </c>
      <c r="H298" s="120">
        <v>1348</v>
      </c>
      <c r="I298" s="120">
        <v>2197</v>
      </c>
      <c r="J298" s="120">
        <v>2057</v>
      </c>
      <c r="K298" s="120">
        <v>2067</v>
      </c>
      <c r="L298" s="120">
        <v>2222</v>
      </c>
      <c r="M298" s="120">
        <v>1849</v>
      </c>
      <c r="N298" s="120">
        <v>1159</v>
      </c>
      <c r="O298" s="120">
        <v>509</v>
      </c>
      <c r="P298" s="120">
        <v>-908.67206899999996</v>
      </c>
      <c r="Q298" s="120">
        <f>+Q295+Q297</f>
        <v>457.99447599999996</v>
      </c>
      <c r="R298" s="120">
        <v>215.00552400000004</v>
      </c>
      <c r="S298" s="120">
        <v>536</v>
      </c>
      <c r="T298" s="120">
        <v>4651.5590520000005</v>
      </c>
      <c r="V298" s="253" t="s">
        <v>48</v>
      </c>
      <c r="W298" s="120">
        <v>1566.1453909999991</v>
      </c>
      <c r="X298" s="120">
        <f>+[33]EEFF_Vías_Chi!Y298</f>
        <v>4705.4389810000002</v>
      </c>
    </row>
    <row r="299" spans="2:24" ht="15.5">
      <c r="B299" s="82"/>
      <c r="C299" s="9"/>
      <c r="D299" s="9"/>
      <c r="E299" s="9"/>
      <c r="F299" s="9"/>
      <c r="G299" s="9"/>
      <c r="H299" s="9"/>
      <c r="I299" s="9"/>
      <c r="J299" s="9"/>
      <c r="K299" s="9"/>
      <c r="L299" s="9"/>
      <c r="M299" s="9"/>
      <c r="N299" s="9"/>
      <c r="O299" s="9"/>
      <c r="P299" s="9"/>
      <c r="Q299" s="9"/>
      <c r="R299" s="9"/>
      <c r="S299" s="9"/>
      <c r="T299" s="9"/>
      <c r="V299" s="404"/>
      <c r="W299" s="9"/>
      <c r="X299" s="9">
        <f>+[33]EEFF_Vías_Chi!Y299</f>
        <v>0</v>
      </c>
    </row>
    <row r="300" spans="2:24" ht="15.5">
      <c r="B300" s="83" t="s">
        <v>49</v>
      </c>
      <c r="C300" s="118">
        <v>2385</v>
      </c>
      <c r="D300" s="118">
        <v>2087</v>
      </c>
      <c r="E300" s="118">
        <v>587</v>
      </c>
      <c r="F300" s="118">
        <v>256</v>
      </c>
      <c r="G300" s="118">
        <v>357</v>
      </c>
      <c r="H300" s="118">
        <v>364</v>
      </c>
      <c r="I300" s="118">
        <v>593</v>
      </c>
      <c r="J300" s="118">
        <v>595</v>
      </c>
      <c r="K300" s="118">
        <v>558</v>
      </c>
      <c r="L300" s="118">
        <v>679</v>
      </c>
      <c r="M300" s="118">
        <v>500</v>
      </c>
      <c r="N300" s="118">
        <v>312</v>
      </c>
      <c r="O300" s="118">
        <v>194</v>
      </c>
      <c r="P300" s="118">
        <v>-245.34145799999999</v>
      </c>
      <c r="Q300" s="118">
        <v>-123.658509</v>
      </c>
      <c r="R300" s="118">
        <v>-58.341491000000005</v>
      </c>
      <c r="S300" s="118">
        <v>244</v>
      </c>
      <c r="T300" s="118">
        <v>-1306.2234840000001</v>
      </c>
      <c r="V300" s="44" t="s">
        <v>49</v>
      </c>
      <c r="W300" s="118">
        <v>425.46900399999998</v>
      </c>
      <c r="X300" s="118">
        <f>+[33]EEFF_Vías_Chi!Y300</f>
        <v>684.93140500000004</v>
      </c>
    </row>
    <row r="301" spans="2:24" ht="15.5">
      <c r="B301" s="85" t="s">
        <v>52</v>
      </c>
      <c r="C301" s="120">
        <v>7630</v>
      </c>
      <c r="D301" s="120">
        <v>6096</v>
      </c>
      <c r="E301" s="120">
        <v>1584</v>
      </c>
      <c r="F301" s="120">
        <v>1062</v>
      </c>
      <c r="G301" s="120">
        <v>966</v>
      </c>
      <c r="H301" s="120">
        <v>984</v>
      </c>
      <c r="I301" s="120">
        <v>1604</v>
      </c>
      <c r="J301" s="120">
        <v>1462</v>
      </c>
      <c r="K301" s="120">
        <v>1509</v>
      </c>
      <c r="L301" s="120">
        <v>1543</v>
      </c>
      <c r="M301" s="120">
        <v>1349</v>
      </c>
      <c r="N301" s="120">
        <v>847</v>
      </c>
      <c r="O301" s="120">
        <v>315</v>
      </c>
      <c r="P301" s="120">
        <v>-663.33061099999998</v>
      </c>
      <c r="Q301" s="120">
        <f>+Q298+Q300</f>
        <v>334.33596699999998</v>
      </c>
      <c r="R301" s="120">
        <v>156.66403300000002</v>
      </c>
      <c r="S301" s="120">
        <v>780</v>
      </c>
      <c r="T301" s="120">
        <v>3345.3355680000004</v>
      </c>
      <c r="V301" s="253" t="s">
        <v>52</v>
      </c>
      <c r="W301" s="120">
        <v>1140.6763869999991</v>
      </c>
      <c r="X301" s="120">
        <f>+[33]EEFF_Vías_Chi!Y301</f>
        <v>4020.507576</v>
      </c>
    </row>
    <row r="302" spans="2:24" ht="15.5">
      <c r="B302" s="143"/>
      <c r="C302" s="143"/>
      <c r="D302" s="143"/>
      <c r="E302" s="143"/>
      <c r="F302" s="143"/>
      <c r="G302" s="143"/>
      <c r="H302" s="143"/>
      <c r="I302" s="143"/>
      <c r="J302" s="143"/>
      <c r="K302" s="143"/>
      <c r="L302" s="143"/>
      <c r="M302" s="143"/>
      <c r="N302" s="143"/>
      <c r="O302" s="143"/>
      <c r="P302" s="46"/>
      <c r="Q302" s="46"/>
      <c r="V302" s="46"/>
      <c r="W302" s="653"/>
      <c r="X302" s="653">
        <f>+[33]EEFF_Vías_Chi!Y302</f>
        <v>0</v>
      </c>
    </row>
    <row r="303" spans="2:24" ht="15.5">
      <c r="B303" s="143"/>
      <c r="C303" s="143"/>
      <c r="D303" s="143"/>
      <c r="E303" s="143"/>
      <c r="F303" s="143"/>
      <c r="G303" s="143"/>
      <c r="H303" s="143"/>
      <c r="I303" s="143"/>
      <c r="J303" s="143"/>
      <c r="K303" s="143"/>
      <c r="L303" s="143"/>
      <c r="M303" s="143"/>
      <c r="N303" s="143"/>
      <c r="O303" s="143"/>
      <c r="P303" s="46"/>
      <c r="Q303" s="46"/>
      <c r="V303" s="85" t="s">
        <v>1104</v>
      </c>
      <c r="W303" s="120">
        <v>2175</v>
      </c>
      <c r="X303" s="120">
        <f>+[33]EEFF_Vías_Chi!Y303</f>
        <v>4668.2137130000001</v>
      </c>
    </row>
    <row r="304" spans="2:24" ht="15.5">
      <c r="B304" s="62" t="s">
        <v>365</v>
      </c>
      <c r="C304" s="143"/>
      <c r="D304" s="143"/>
      <c r="E304" s="143"/>
      <c r="F304" s="143"/>
      <c r="G304" s="143"/>
      <c r="H304" s="88"/>
      <c r="I304" s="88"/>
      <c r="J304" s="88"/>
      <c r="K304" s="88"/>
      <c r="L304" s="88"/>
      <c r="M304" s="88"/>
      <c r="N304" s="88"/>
      <c r="O304" s="88"/>
      <c r="P304" s="46"/>
      <c r="Q304" s="46"/>
      <c r="X304" s="46">
        <f>+[33]EEFF_Vías_Chi!Y304</f>
        <v>0</v>
      </c>
    </row>
    <row r="305" spans="2:24" ht="15.5">
      <c r="B305" s="165" t="s">
        <v>356</v>
      </c>
      <c r="C305" s="143"/>
      <c r="D305" s="143"/>
      <c r="E305" s="143"/>
      <c r="F305" s="143"/>
      <c r="G305" s="143"/>
      <c r="H305" s="89"/>
      <c r="I305" s="89"/>
      <c r="J305" s="89"/>
      <c r="K305" s="89"/>
      <c r="L305" s="89"/>
      <c r="M305" s="89"/>
      <c r="N305" s="89"/>
      <c r="O305" s="89"/>
      <c r="P305" s="46"/>
      <c r="Q305" s="46"/>
      <c r="X305" s="46">
        <f>+[33]EEFF_Vías_Chi!Y305</f>
        <v>0</v>
      </c>
    </row>
    <row r="306" spans="2:24" ht="15.5">
      <c r="B306" s="90"/>
      <c r="C306" s="143"/>
      <c r="D306" s="143"/>
      <c r="E306" s="143"/>
      <c r="F306" s="143"/>
      <c r="G306" s="143"/>
      <c r="H306" s="90"/>
      <c r="I306" s="90"/>
      <c r="J306" s="90"/>
      <c r="K306" s="90"/>
      <c r="L306" s="90"/>
      <c r="M306" s="90"/>
      <c r="N306" s="90"/>
      <c r="O306" s="90"/>
      <c r="P306" s="46"/>
      <c r="Q306" s="46"/>
      <c r="X306" s="46">
        <f>+[33]EEFF_Vías_Chi!Y306</f>
        <v>0</v>
      </c>
    </row>
    <row r="307" spans="2:24" ht="15.5">
      <c r="B307" s="211"/>
      <c r="C307" s="212">
        <v>2016</v>
      </c>
      <c r="D307" s="212">
        <v>2017</v>
      </c>
      <c r="E307" s="212" t="s">
        <v>19</v>
      </c>
      <c r="F307" s="212" t="s">
        <v>20</v>
      </c>
      <c r="G307" s="212" t="s">
        <v>21</v>
      </c>
      <c r="H307" s="212" t="s">
        <v>22</v>
      </c>
      <c r="I307" s="212" t="s">
        <v>23</v>
      </c>
      <c r="J307" s="212" t="s">
        <v>24</v>
      </c>
      <c r="K307" s="212" t="s">
        <v>25</v>
      </c>
      <c r="L307" s="212" t="s">
        <v>26</v>
      </c>
      <c r="M307" s="212" t="s">
        <v>27</v>
      </c>
      <c r="N307" s="212" t="s">
        <v>28</v>
      </c>
      <c r="O307" s="212" t="s">
        <v>29</v>
      </c>
      <c r="P307" s="212" t="s">
        <v>722</v>
      </c>
      <c r="Q307" s="212" t="s">
        <v>739</v>
      </c>
      <c r="R307" s="212" t="s">
        <v>912</v>
      </c>
      <c r="S307" s="212" t="s">
        <v>1051</v>
      </c>
      <c r="T307" s="212" t="s">
        <v>1089</v>
      </c>
      <c r="V307" s="211"/>
      <c r="W307" s="669" t="s">
        <v>1109</v>
      </c>
      <c r="X307" s="669" t="str">
        <f>+[33]EEFF_Vías_Chi!Y307</f>
        <v>2T22</v>
      </c>
    </row>
    <row r="308" spans="2:24" ht="15">
      <c r="B308" s="188" t="s">
        <v>55</v>
      </c>
      <c r="C308" s="188"/>
      <c r="D308" s="188"/>
      <c r="E308" s="188"/>
      <c r="F308" s="188"/>
      <c r="G308" s="188"/>
      <c r="H308" s="188"/>
      <c r="I308" s="188"/>
      <c r="J308" s="188"/>
      <c r="K308" s="188"/>
      <c r="L308" s="188"/>
      <c r="M308" s="188"/>
      <c r="N308" s="188"/>
      <c r="O308" s="188"/>
      <c r="P308" s="188"/>
      <c r="Q308" s="188"/>
      <c r="R308" s="188"/>
      <c r="S308" s="188"/>
      <c r="T308" s="188"/>
      <c r="V308" s="188" t="s">
        <v>55</v>
      </c>
      <c r="W308" s="667"/>
      <c r="X308" s="667">
        <f>+[33]EEFF_Vías_Chi!Y308</f>
        <v>0</v>
      </c>
    </row>
    <row r="309" spans="2:24" ht="15">
      <c r="B309" s="181" t="s">
        <v>56</v>
      </c>
      <c r="C309" s="182"/>
      <c r="D309" s="182"/>
      <c r="E309" s="182"/>
      <c r="F309" s="182"/>
      <c r="G309" s="182"/>
      <c r="H309" s="182"/>
      <c r="I309" s="182"/>
      <c r="J309" s="182"/>
      <c r="K309" s="182"/>
      <c r="L309" s="182"/>
      <c r="M309" s="182"/>
      <c r="N309" s="182"/>
      <c r="O309" s="182"/>
      <c r="P309" s="182"/>
      <c r="Q309" s="182"/>
      <c r="R309" s="182"/>
      <c r="S309" s="182"/>
      <c r="T309" s="182"/>
      <c r="V309" s="181" t="s">
        <v>56</v>
      </c>
      <c r="W309" s="623"/>
      <c r="X309" s="623">
        <f>+[33]EEFF_Vías_Chi!Y309</f>
        <v>0</v>
      </c>
    </row>
    <row r="310" spans="2:24" ht="15.5">
      <c r="B310" s="209" t="s">
        <v>57</v>
      </c>
      <c r="C310" s="110">
        <v>15394</v>
      </c>
      <c r="D310" s="110">
        <v>17639</v>
      </c>
      <c r="E310" s="110">
        <v>18705</v>
      </c>
      <c r="F310" s="110">
        <v>11239</v>
      </c>
      <c r="G310" s="110">
        <v>7968</v>
      </c>
      <c r="H310" s="110">
        <v>10916</v>
      </c>
      <c r="I310" s="110">
        <v>11448</v>
      </c>
      <c r="J310" s="110">
        <v>11565</v>
      </c>
      <c r="K310" s="110">
        <v>6960</v>
      </c>
      <c r="L310" s="110">
        <v>11688</v>
      </c>
      <c r="M310" s="110">
        <v>13229</v>
      </c>
      <c r="N310" s="110">
        <v>9632</v>
      </c>
      <c r="O310" s="110">
        <v>9546</v>
      </c>
      <c r="P310" s="110">
        <v>6624.6703779999998</v>
      </c>
      <c r="Q310" s="110">
        <v>9336.2129459999996</v>
      </c>
      <c r="R310" s="110">
        <v>10018</v>
      </c>
      <c r="S310" s="110">
        <v>8143</v>
      </c>
      <c r="T310" s="110">
        <v>12852.719831</v>
      </c>
      <c r="V310" s="209" t="s">
        <v>57</v>
      </c>
      <c r="W310" s="110">
        <v>14181.789519</v>
      </c>
      <c r="X310" s="110">
        <f>+[33]EEFF_Vías_Chi!Y310</f>
        <v>13212.293331000001</v>
      </c>
    </row>
    <row r="311" spans="2:24" ht="15.5">
      <c r="B311" s="209" t="s">
        <v>58</v>
      </c>
      <c r="C311" s="110">
        <v>42568</v>
      </c>
      <c r="D311" s="110">
        <v>31078</v>
      </c>
      <c r="E311" s="110">
        <v>31940</v>
      </c>
      <c r="F311" s="110">
        <v>31103</v>
      </c>
      <c r="G311" s="110">
        <v>33366</v>
      </c>
      <c r="H311" s="110">
        <v>37959</v>
      </c>
      <c r="I311" s="110">
        <v>36697</v>
      </c>
      <c r="J311" s="110">
        <v>39189</v>
      </c>
      <c r="K311" s="110">
        <v>39422</v>
      </c>
      <c r="L311" s="110">
        <v>41920</v>
      </c>
      <c r="M311" s="110">
        <v>37880</v>
      </c>
      <c r="N311" s="110">
        <v>41718</v>
      </c>
      <c r="O311" s="110">
        <v>37840</v>
      </c>
      <c r="P311" s="110">
        <v>43580.052444000001</v>
      </c>
      <c r="Q311" s="110">
        <f>37606.959357+2540.845442</f>
        <v>40147.804798999998</v>
      </c>
      <c r="R311" s="110">
        <v>40435</v>
      </c>
      <c r="S311" s="110">
        <v>34656</v>
      </c>
      <c r="T311" s="110">
        <v>31695.668985</v>
      </c>
      <c r="V311" s="209" t="s">
        <v>58</v>
      </c>
      <c r="W311" s="110">
        <v>31888.870512000001</v>
      </c>
      <c r="X311" s="110">
        <f>+[33]EEFF_Vías_Chi!Y311</f>
        <v>35958.736399000001</v>
      </c>
    </row>
    <row r="312" spans="2:24" ht="15.5">
      <c r="B312" s="209" t="s">
        <v>59</v>
      </c>
      <c r="C312" s="110">
        <v>4</v>
      </c>
      <c r="D312" s="110">
        <v>51</v>
      </c>
      <c r="E312" s="110">
        <v>145</v>
      </c>
      <c r="F312" s="110">
        <v>752</v>
      </c>
      <c r="G312" s="110">
        <v>1735</v>
      </c>
      <c r="H312" s="110">
        <v>2763</v>
      </c>
      <c r="I312" s="110">
        <v>4113</v>
      </c>
      <c r="J312" s="110">
        <v>2286</v>
      </c>
      <c r="K312" s="110">
        <v>3716</v>
      </c>
      <c r="L312" s="110">
        <v>5316</v>
      </c>
      <c r="M312" s="110">
        <v>7382</v>
      </c>
      <c r="N312" s="110">
        <v>8408</v>
      </c>
      <c r="O312" s="110">
        <v>3734</v>
      </c>
      <c r="P312" s="110">
        <v>4976.1125540000003</v>
      </c>
      <c r="Q312" s="110">
        <v>6475.7951880000001</v>
      </c>
      <c r="R312" s="110">
        <v>4050</v>
      </c>
      <c r="S312" s="110">
        <v>5441</v>
      </c>
      <c r="T312" s="110">
        <v>2865.5190339999999</v>
      </c>
      <c r="V312" s="209" t="s">
        <v>59</v>
      </c>
      <c r="W312" s="110">
        <v>1297.6537519999999</v>
      </c>
      <c r="X312" s="110">
        <f>+[33]EEFF_Vías_Chi!Y312</f>
        <v>1803.6367230000001</v>
      </c>
    </row>
    <row r="313" spans="2:24" ht="15.5">
      <c r="B313" s="209" t="s">
        <v>61</v>
      </c>
      <c r="C313" s="110">
        <v>199</v>
      </c>
      <c r="D313" s="110">
        <v>267</v>
      </c>
      <c r="E313" s="110">
        <v>163</v>
      </c>
      <c r="F313" s="110">
        <v>654</v>
      </c>
      <c r="G313" s="110">
        <v>552</v>
      </c>
      <c r="H313" s="110">
        <v>434</v>
      </c>
      <c r="I313" s="110">
        <v>339</v>
      </c>
      <c r="J313" s="110">
        <v>271</v>
      </c>
      <c r="K313" s="110">
        <v>171</v>
      </c>
      <c r="L313" s="110">
        <v>439</v>
      </c>
      <c r="M313" s="110">
        <v>502</v>
      </c>
      <c r="N313" s="110">
        <v>409</v>
      </c>
      <c r="O313" s="110">
        <v>254</v>
      </c>
      <c r="P313" s="110">
        <v>627.04787099999999</v>
      </c>
      <c r="Q313" s="110">
        <v>945.61449800000003</v>
      </c>
      <c r="R313" s="110">
        <v>669</v>
      </c>
      <c r="S313" s="110">
        <v>528</v>
      </c>
      <c r="T313" s="110">
        <v>351.639974</v>
      </c>
      <c r="V313" s="209" t="s">
        <v>61</v>
      </c>
      <c r="W313" s="110">
        <v>228.16422</v>
      </c>
      <c r="X313" s="110">
        <f>+[33]EEFF_Vías_Chi!Y313</f>
        <v>1088.6082879999999</v>
      </c>
    </row>
    <row r="314" spans="2:24" ht="15.5">
      <c r="B314" s="209" t="s">
        <v>282</v>
      </c>
      <c r="C314" s="110">
        <v>0</v>
      </c>
      <c r="D314" s="110">
        <v>0</v>
      </c>
      <c r="E314" s="110">
        <v>0</v>
      </c>
      <c r="F314" s="110">
        <v>0</v>
      </c>
      <c r="G314" s="110">
        <v>0</v>
      </c>
      <c r="H314" s="110">
        <v>0</v>
      </c>
      <c r="I314" s="110">
        <v>0</v>
      </c>
      <c r="J314" s="110">
        <v>0</v>
      </c>
      <c r="K314" s="110">
        <v>0</v>
      </c>
      <c r="L314" s="110">
        <v>0</v>
      </c>
      <c r="M314" s="110">
        <v>0</v>
      </c>
      <c r="N314" s="110">
        <v>0</v>
      </c>
      <c r="O314" s="110">
        <v>0</v>
      </c>
      <c r="P314" s="110">
        <v>0</v>
      </c>
      <c r="Q314" s="110">
        <v>0</v>
      </c>
      <c r="R314" s="110">
        <v>0</v>
      </c>
      <c r="S314" s="110">
        <v>0</v>
      </c>
      <c r="T314" s="110">
        <v>0</v>
      </c>
      <c r="V314" s="209" t="s">
        <v>282</v>
      </c>
      <c r="W314" s="110">
        <v>0</v>
      </c>
      <c r="X314" s="110">
        <f>+[33]EEFF_Vías_Chi!Y314</f>
        <v>0</v>
      </c>
    </row>
    <row r="315" spans="2:24" ht="15.5">
      <c r="B315" s="209" t="s">
        <v>62</v>
      </c>
      <c r="C315" s="110">
        <v>0</v>
      </c>
      <c r="D315" s="110">
        <v>0</v>
      </c>
      <c r="E315" s="110">
        <v>0</v>
      </c>
      <c r="F315" s="110">
        <v>0</v>
      </c>
      <c r="G315" s="110">
        <v>0</v>
      </c>
      <c r="H315" s="110">
        <v>0</v>
      </c>
      <c r="I315" s="110">
        <v>0</v>
      </c>
      <c r="J315" s="110">
        <v>0</v>
      </c>
      <c r="K315" s="110">
        <v>0</v>
      </c>
      <c r="L315" s="110">
        <v>0</v>
      </c>
      <c r="M315" s="110">
        <v>0</v>
      </c>
      <c r="N315" s="110">
        <v>0</v>
      </c>
      <c r="O315" s="110">
        <v>0</v>
      </c>
      <c r="P315" s="110">
        <v>0</v>
      </c>
      <c r="Q315" s="110">
        <v>0</v>
      </c>
      <c r="R315" s="110">
        <v>0</v>
      </c>
      <c r="S315" s="110">
        <v>0</v>
      </c>
      <c r="T315" s="110">
        <v>0</v>
      </c>
      <c r="V315" s="209" t="s">
        <v>62</v>
      </c>
      <c r="W315" s="110"/>
      <c r="X315" s="110">
        <f>+[33]EEFF_Vías_Chi!Y315</f>
        <v>0</v>
      </c>
    </row>
    <row r="316" spans="2:24" ht="15">
      <c r="B316" s="132" t="s">
        <v>63</v>
      </c>
      <c r="C316" s="185">
        <v>58165</v>
      </c>
      <c r="D316" s="185">
        <v>49035</v>
      </c>
      <c r="E316" s="185">
        <v>50953</v>
      </c>
      <c r="F316" s="185">
        <v>43748</v>
      </c>
      <c r="G316" s="185">
        <v>43621</v>
      </c>
      <c r="H316" s="185">
        <v>52072</v>
      </c>
      <c r="I316" s="185">
        <v>52597</v>
      </c>
      <c r="J316" s="185">
        <v>53311</v>
      </c>
      <c r="K316" s="185">
        <v>50269</v>
      </c>
      <c r="L316" s="185">
        <v>59363</v>
      </c>
      <c r="M316" s="185">
        <v>58993</v>
      </c>
      <c r="N316" s="185">
        <v>60167</v>
      </c>
      <c r="O316" s="185">
        <v>51374</v>
      </c>
      <c r="P316" s="185">
        <f>SUM(P310:P315)</f>
        <v>55807.883247000005</v>
      </c>
      <c r="Q316" s="185">
        <f>SUM(Q310:Q315)</f>
        <v>56905.427430999996</v>
      </c>
      <c r="R316" s="185">
        <v>55172</v>
      </c>
      <c r="S316" s="185">
        <v>48768</v>
      </c>
      <c r="T316" s="185">
        <v>47765.547823999994</v>
      </c>
      <c r="V316" s="132" t="s">
        <v>63</v>
      </c>
      <c r="W316" s="659">
        <v>47596.478002999997</v>
      </c>
      <c r="X316" s="659">
        <f>+[33]EEFF_Vías_Chi!Y316</f>
        <v>52063.274741000008</v>
      </c>
    </row>
    <row r="317" spans="2:24" ht="15">
      <c r="B317" s="181" t="s">
        <v>64</v>
      </c>
      <c r="C317" s="182"/>
      <c r="D317" s="182"/>
      <c r="E317" s="182"/>
      <c r="F317" s="182"/>
      <c r="G317" s="182"/>
      <c r="H317" s="182"/>
      <c r="I317" s="182"/>
      <c r="J317" s="182"/>
      <c r="K317" s="182"/>
      <c r="L317" s="182"/>
      <c r="M317" s="182"/>
      <c r="N317" s="182"/>
      <c r="O317" s="182"/>
      <c r="P317" s="182"/>
      <c r="Q317" s="182"/>
      <c r="R317" s="182"/>
      <c r="S317" s="182">
        <v>0</v>
      </c>
      <c r="T317" s="182"/>
      <c r="V317" s="181" t="s">
        <v>64</v>
      </c>
      <c r="W317" s="623"/>
      <c r="X317" s="623">
        <f>+[33]EEFF_Vías_Chi!Y317</f>
        <v>0</v>
      </c>
    </row>
    <row r="318" spans="2:24" ht="15.5">
      <c r="B318" s="209" t="s">
        <v>65</v>
      </c>
      <c r="C318" s="110">
        <v>0</v>
      </c>
      <c r="D318" s="110">
        <v>0</v>
      </c>
      <c r="E318" s="110">
        <v>0</v>
      </c>
      <c r="F318" s="110">
        <v>0</v>
      </c>
      <c r="G318" s="110">
        <v>0</v>
      </c>
      <c r="H318" s="110">
        <v>0</v>
      </c>
      <c r="I318" s="110">
        <v>0</v>
      </c>
      <c r="J318" s="110">
        <v>0</v>
      </c>
      <c r="K318" s="110">
        <v>0</v>
      </c>
      <c r="L318" s="110">
        <v>0</v>
      </c>
      <c r="M318" s="110">
        <v>0</v>
      </c>
      <c r="N318" s="110">
        <v>0</v>
      </c>
      <c r="O318" s="110">
        <v>0</v>
      </c>
      <c r="P318" s="110">
        <v>0</v>
      </c>
      <c r="Q318" s="110">
        <v>0</v>
      </c>
      <c r="R318" s="110">
        <v>0</v>
      </c>
      <c r="S318" s="110">
        <v>0</v>
      </c>
      <c r="T318" s="110">
        <v>0</v>
      </c>
      <c r="V318" s="209" t="s">
        <v>65</v>
      </c>
      <c r="W318" s="110">
        <v>0</v>
      </c>
      <c r="X318" s="110">
        <f>+[33]EEFF_Vías_Chi!Y318</f>
        <v>0</v>
      </c>
    </row>
    <row r="319" spans="2:24" ht="15.5">
      <c r="B319" s="209" t="s">
        <v>66</v>
      </c>
      <c r="C319" s="110">
        <v>0</v>
      </c>
      <c r="D319" s="110">
        <v>0</v>
      </c>
      <c r="E319" s="110">
        <v>0</v>
      </c>
      <c r="F319" s="110">
        <v>0</v>
      </c>
      <c r="G319" s="110">
        <v>0</v>
      </c>
      <c r="H319" s="110">
        <v>0</v>
      </c>
      <c r="I319" s="110">
        <v>0</v>
      </c>
      <c r="J319" s="110">
        <v>0</v>
      </c>
      <c r="K319" s="110">
        <v>0</v>
      </c>
      <c r="L319" s="110">
        <v>0</v>
      </c>
      <c r="M319" s="110">
        <v>0</v>
      </c>
      <c r="N319" s="110">
        <v>0</v>
      </c>
      <c r="O319" s="110">
        <v>0</v>
      </c>
      <c r="P319" s="110">
        <v>0</v>
      </c>
      <c r="Q319" s="110">
        <v>0</v>
      </c>
      <c r="R319" s="110">
        <v>0</v>
      </c>
      <c r="S319" s="110">
        <v>0</v>
      </c>
      <c r="T319" s="110">
        <v>0</v>
      </c>
      <c r="V319" s="209" t="s">
        <v>66</v>
      </c>
      <c r="W319" s="110">
        <v>0</v>
      </c>
      <c r="X319" s="110">
        <f>+[33]EEFF_Vías_Chi!Y319</f>
        <v>0</v>
      </c>
    </row>
    <row r="320" spans="2:24" ht="30">
      <c r="B320" s="209" t="s">
        <v>113</v>
      </c>
      <c r="C320" s="110">
        <v>0</v>
      </c>
      <c r="D320" s="110">
        <v>0</v>
      </c>
      <c r="E320" s="110">
        <v>0</v>
      </c>
      <c r="F320" s="110">
        <v>0</v>
      </c>
      <c r="G320" s="110">
        <v>0</v>
      </c>
      <c r="H320" s="110">
        <v>0</v>
      </c>
      <c r="I320" s="110">
        <v>0</v>
      </c>
      <c r="J320" s="110">
        <v>0</v>
      </c>
      <c r="K320" s="110">
        <v>0</v>
      </c>
      <c r="L320" s="110">
        <v>0</v>
      </c>
      <c r="M320" s="110">
        <v>0</v>
      </c>
      <c r="N320" s="110">
        <v>0</v>
      </c>
      <c r="O320" s="110">
        <v>0</v>
      </c>
      <c r="P320" s="110">
        <v>0</v>
      </c>
      <c r="Q320" s="110">
        <v>0</v>
      </c>
      <c r="R320" s="110">
        <v>0</v>
      </c>
      <c r="S320" s="110">
        <v>0</v>
      </c>
      <c r="T320" s="110">
        <v>0</v>
      </c>
      <c r="V320" s="209" t="s">
        <v>113</v>
      </c>
      <c r="W320" s="110">
        <v>0</v>
      </c>
      <c r="X320" s="110">
        <f>+[33]EEFF_Vías_Chi!Y320</f>
        <v>0</v>
      </c>
    </row>
    <row r="321" spans="2:24" ht="15.5">
      <c r="B321" s="209" t="s">
        <v>114</v>
      </c>
      <c r="C321" s="110">
        <v>0</v>
      </c>
      <c r="D321" s="110">
        <v>0</v>
      </c>
      <c r="E321" s="110">
        <v>0</v>
      </c>
      <c r="F321" s="110">
        <v>0</v>
      </c>
      <c r="G321" s="110">
        <v>0</v>
      </c>
      <c r="H321" s="110">
        <v>0</v>
      </c>
      <c r="I321" s="110">
        <v>0</v>
      </c>
      <c r="J321" s="110">
        <v>0</v>
      </c>
      <c r="K321" s="110">
        <v>0</v>
      </c>
      <c r="L321" s="110">
        <v>0</v>
      </c>
      <c r="M321" s="110">
        <v>0</v>
      </c>
      <c r="N321" s="110">
        <v>0</v>
      </c>
      <c r="O321" s="110">
        <v>0</v>
      </c>
      <c r="P321" s="110">
        <v>0</v>
      </c>
      <c r="Q321" s="110">
        <v>0</v>
      </c>
      <c r="R321" s="110">
        <v>0</v>
      </c>
      <c r="S321" s="110">
        <v>0</v>
      </c>
      <c r="T321" s="110">
        <v>0</v>
      </c>
      <c r="V321" s="209" t="s">
        <v>114</v>
      </c>
      <c r="W321" s="110">
        <v>0</v>
      </c>
      <c r="X321" s="110">
        <f>+[33]EEFF_Vías_Chi!Y321</f>
        <v>0</v>
      </c>
    </row>
    <row r="322" spans="2:24" ht="15.5">
      <c r="B322" s="209" t="s">
        <v>58</v>
      </c>
      <c r="C322" s="110">
        <v>60824</v>
      </c>
      <c r="D322" s="110">
        <v>53099</v>
      </c>
      <c r="E322" s="110">
        <v>49057</v>
      </c>
      <c r="F322" s="110">
        <v>46294</v>
      </c>
      <c r="G322" s="110">
        <v>41324</v>
      </c>
      <c r="H322" s="110">
        <v>35803</v>
      </c>
      <c r="I322" s="110">
        <v>34533</v>
      </c>
      <c r="J322" s="110">
        <v>31945</v>
      </c>
      <c r="K322" s="110">
        <v>27240</v>
      </c>
      <c r="L322" s="110">
        <v>22783</v>
      </c>
      <c r="M322" s="110">
        <v>19872</v>
      </c>
      <c r="N322" s="110">
        <v>19483</v>
      </c>
      <c r="O322" s="110">
        <v>15985</v>
      </c>
      <c r="P322" s="110">
        <v>10261.749362</v>
      </c>
      <c r="Q322" s="110">
        <v>5178.3844600000002</v>
      </c>
      <c r="R322" s="110">
        <v>1273</v>
      </c>
      <c r="S322" s="110">
        <v>0</v>
      </c>
      <c r="T322" s="110">
        <v>0</v>
      </c>
      <c r="V322" s="209" t="s">
        <v>58</v>
      </c>
      <c r="W322" s="110">
        <v>0</v>
      </c>
      <c r="X322" s="110">
        <f>+[33]EEFF_Vías_Chi!Y322</f>
        <v>0</v>
      </c>
    </row>
    <row r="323" spans="2:24" ht="15.5">
      <c r="B323" s="209" t="s">
        <v>69</v>
      </c>
      <c r="C323" s="110">
        <v>0</v>
      </c>
      <c r="D323" s="110">
        <v>0</v>
      </c>
      <c r="E323" s="110">
        <v>0</v>
      </c>
      <c r="F323" s="110">
        <v>0</v>
      </c>
      <c r="G323" s="110">
        <v>0</v>
      </c>
      <c r="H323" s="110">
        <v>0</v>
      </c>
      <c r="I323" s="110">
        <v>0</v>
      </c>
      <c r="J323" s="110">
        <v>0</v>
      </c>
      <c r="K323" s="110">
        <v>0</v>
      </c>
      <c r="L323" s="110">
        <v>0</v>
      </c>
      <c r="M323" s="110">
        <v>0</v>
      </c>
      <c r="N323" s="110">
        <v>0</v>
      </c>
      <c r="O323" s="110">
        <v>0</v>
      </c>
      <c r="P323" s="110">
        <v>0</v>
      </c>
      <c r="Q323" s="110">
        <v>0</v>
      </c>
      <c r="R323" s="110">
        <v>0</v>
      </c>
      <c r="S323" s="110">
        <v>0</v>
      </c>
      <c r="T323" s="110">
        <v>0</v>
      </c>
      <c r="V323" s="209" t="s">
        <v>69</v>
      </c>
      <c r="W323" s="110">
        <v>0</v>
      </c>
      <c r="X323" s="110">
        <f>+[33]EEFF_Vías_Chi!Y323</f>
        <v>0</v>
      </c>
    </row>
    <row r="324" spans="2:24" ht="15.5">
      <c r="B324" s="209" t="s">
        <v>70</v>
      </c>
      <c r="C324" s="110">
        <v>61</v>
      </c>
      <c r="D324" s="110">
        <v>102</v>
      </c>
      <c r="E324" s="110">
        <v>91</v>
      </c>
      <c r="F324" s="110">
        <v>82</v>
      </c>
      <c r="G324" s="110">
        <v>74</v>
      </c>
      <c r="H324" s="110">
        <v>79</v>
      </c>
      <c r="I324" s="110">
        <v>192</v>
      </c>
      <c r="J324" s="110">
        <v>98</v>
      </c>
      <c r="K324" s="110">
        <v>106</v>
      </c>
      <c r="L324" s="110">
        <v>108</v>
      </c>
      <c r="M324" s="110">
        <v>109</v>
      </c>
      <c r="N324" s="110">
        <v>101</v>
      </c>
      <c r="O324" s="110">
        <v>94</v>
      </c>
      <c r="P324" s="110">
        <v>91.234666000000004</v>
      </c>
      <c r="Q324" s="110">
        <v>83.537306000000001</v>
      </c>
      <c r="R324" s="110">
        <v>80</v>
      </c>
      <c r="S324" s="110">
        <v>72</v>
      </c>
      <c r="T324" s="110">
        <v>63.840912000000003</v>
      </c>
      <c r="V324" s="209" t="s">
        <v>70</v>
      </c>
      <c r="W324" s="110">
        <v>65.056141999999994</v>
      </c>
      <c r="X324" s="110">
        <f>+[33]EEFF_Vías_Chi!Y324</f>
        <v>56.764273000000003</v>
      </c>
    </row>
    <row r="325" spans="2:24" ht="15.5">
      <c r="B325" s="209" t="s">
        <v>71</v>
      </c>
      <c r="C325" s="110">
        <v>0</v>
      </c>
      <c r="D325" s="110">
        <v>0</v>
      </c>
      <c r="E325" s="110">
        <v>0</v>
      </c>
      <c r="F325" s="110">
        <v>0</v>
      </c>
      <c r="G325" s="110">
        <v>0</v>
      </c>
      <c r="H325" s="110">
        <v>0</v>
      </c>
      <c r="I325" s="110">
        <v>0</v>
      </c>
      <c r="J325" s="110">
        <v>0</v>
      </c>
      <c r="K325" s="110">
        <v>0</v>
      </c>
      <c r="L325" s="110">
        <v>0</v>
      </c>
      <c r="M325" s="110">
        <v>0</v>
      </c>
      <c r="N325" s="110">
        <v>0</v>
      </c>
      <c r="O325" s="110">
        <v>0</v>
      </c>
      <c r="P325" s="110">
        <v>0</v>
      </c>
      <c r="Q325" s="110">
        <v>0</v>
      </c>
      <c r="R325" s="110">
        <v>0</v>
      </c>
      <c r="S325" s="110">
        <v>0</v>
      </c>
      <c r="T325" s="110">
        <v>0</v>
      </c>
      <c r="V325" s="209" t="s">
        <v>71</v>
      </c>
      <c r="W325" s="110">
        <v>0</v>
      </c>
      <c r="X325" s="110">
        <f>+[33]EEFF_Vías_Chi!Y325</f>
        <v>0</v>
      </c>
    </row>
    <row r="326" spans="2:24" ht="15.5">
      <c r="B326" s="209" t="s">
        <v>73</v>
      </c>
      <c r="C326" s="110">
        <v>108</v>
      </c>
      <c r="D326" s="110">
        <v>197</v>
      </c>
      <c r="E326" s="110">
        <v>188</v>
      </c>
      <c r="F326" s="110">
        <v>179</v>
      </c>
      <c r="G326" s="110">
        <v>177</v>
      </c>
      <c r="H326" s="110">
        <v>168</v>
      </c>
      <c r="I326" s="110">
        <v>182</v>
      </c>
      <c r="J326" s="110">
        <v>172</v>
      </c>
      <c r="K326" s="110">
        <v>162</v>
      </c>
      <c r="L326" s="110">
        <v>153</v>
      </c>
      <c r="M326" s="110">
        <v>155</v>
      </c>
      <c r="N326" s="110">
        <v>141</v>
      </c>
      <c r="O326" s="110">
        <v>129</v>
      </c>
      <c r="P326" s="110">
        <v>115.19507400000001</v>
      </c>
      <c r="Q326" s="110">
        <v>102.692087</v>
      </c>
      <c r="R326" s="110">
        <v>92</v>
      </c>
      <c r="S326" s="110">
        <v>82</v>
      </c>
      <c r="T326" s="110">
        <v>71.554449000000005</v>
      </c>
      <c r="V326" s="209" t="s">
        <v>73</v>
      </c>
      <c r="W326" s="110">
        <v>62.955249999999999</v>
      </c>
      <c r="X326" s="110">
        <f>+[33]EEFF_Vías_Chi!Y326</f>
        <v>52.042031999999999</v>
      </c>
    </row>
    <row r="327" spans="2:24" ht="15.5">
      <c r="B327" s="209" t="s">
        <v>61</v>
      </c>
      <c r="C327" s="110">
        <v>0</v>
      </c>
      <c r="D327" s="110">
        <v>0</v>
      </c>
      <c r="E327" s="110">
        <v>0</v>
      </c>
      <c r="F327" s="110">
        <v>0</v>
      </c>
      <c r="G327" s="110">
        <v>0</v>
      </c>
      <c r="H327" s="110">
        <v>0</v>
      </c>
      <c r="I327" s="110">
        <v>0</v>
      </c>
      <c r="J327" s="110">
        <v>0</v>
      </c>
      <c r="K327" s="110">
        <v>0</v>
      </c>
      <c r="L327" s="110">
        <v>0</v>
      </c>
      <c r="M327" s="110">
        <v>0</v>
      </c>
      <c r="N327" s="110">
        <v>0</v>
      </c>
      <c r="O327" s="110">
        <v>0</v>
      </c>
      <c r="P327" s="110">
        <v>0</v>
      </c>
      <c r="Q327" s="110">
        <v>0</v>
      </c>
      <c r="R327" s="110">
        <v>0</v>
      </c>
      <c r="S327" s="110">
        <v>0</v>
      </c>
      <c r="T327" s="110">
        <v>0</v>
      </c>
      <c r="V327" s="209" t="s">
        <v>61</v>
      </c>
      <c r="W327" s="110">
        <v>0</v>
      </c>
      <c r="X327" s="110">
        <f>+[33]EEFF_Vías_Chi!Y327</f>
        <v>0</v>
      </c>
    </row>
    <row r="328" spans="2:24" ht="15.5">
      <c r="B328" s="209" t="s">
        <v>74</v>
      </c>
      <c r="C328" s="110">
        <v>0</v>
      </c>
      <c r="D328" s="110">
        <v>0</v>
      </c>
      <c r="E328" s="110">
        <v>0</v>
      </c>
      <c r="F328" s="110">
        <v>0</v>
      </c>
      <c r="G328" s="110">
        <v>0</v>
      </c>
      <c r="H328" s="110">
        <v>0</v>
      </c>
      <c r="I328" s="110">
        <v>0</v>
      </c>
      <c r="J328" s="110">
        <v>0</v>
      </c>
      <c r="K328" s="110">
        <v>0</v>
      </c>
      <c r="L328" s="110">
        <v>0</v>
      </c>
      <c r="M328" s="110">
        <v>0</v>
      </c>
      <c r="N328" s="110">
        <v>0</v>
      </c>
      <c r="O328" s="110">
        <v>0</v>
      </c>
      <c r="P328" s="110">
        <v>0</v>
      </c>
      <c r="Q328" s="110">
        <v>0</v>
      </c>
      <c r="R328" s="110">
        <v>0</v>
      </c>
      <c r="S328" s="110">
        <v>0</v>
      </c>
      <c r="T328" s="110">
        <v>0</v>
      </c>
      <c r="V328" s="209" t="s">
        <v>74</v>
      </c>
      <c r="W328" s="110">
        <v>0</v>
      </c>
      <c r="X328" s="110">
        <f>+[33]EEFF_Vías_Chi!Y328</f>
        <v>0</v>
      </c>
    </row>
    <row r="329" spans="2:24" ht="15.5">
      <c r="B329" s="209" t="s">
        <v>75</v>
      </c>
      <c r="C329" s="110">
        <v>0</v>
      </c>
      <c r="D329" s="110">
        <v>0</v>
      </c>
      <c r="E329" s="110">
        <v>0</v>
      </c>
      <c r="F329" s="110">
        <v>0</v>
      </c>
      <c r="G329" s="110">
        <v>0</v>
      </c>
      <c r="H329" s="110">
        <v>0</v>
      </c>
      <c r="I329" s="110">
        <v>-6</v>
      </c>
      <c r="J329" s="110">
        <v>187</v>
      </c>
      <c r="K329" s="110">
        <v>170</v>
      </c>
      <c r="L329" s="110">
        <v>154</v>
      </c>
      <c r="M329" s="110">
        <v>137</v>
      </c>
      <c r="N329" s="110">
        <v>121</v>
      </c>
      <c r="O329" s="110">
        <v>122</v>
      </c>
      <c r="P329" s="110">
        <v>104.53037</v>
      </c>
      <c r="Q329" s="110">
        <v>113.761526</v>
      </c>
      <c r="R329" s="110">
        <v>99</v>
      </c>
      <c r="S329" s="110">
        <v>111</v>
      </c>
      <c r="T329" s="110">
        <v>93.051058999999995</v>
      </c>
      <c r="V329" s="209" t="s">
        <v>75</v>
      </c>
      <c r="W329" s="110">
        <v>77.251846</v>
      </c>
      <c r="X329" s="110">
        <f>+[33]EEFF_Vías_Chi!Y329</f>
        <v>63.804954000000002</v>
      </c>
    </row>
    <row r="330" spans="2:24" ht="15.5">
      <c r="B330" s="209" t="s">
        <v>62</v>
      </c>
      <c r="C330" s="110">
        <v>0</v>
      </c>
      <c r="D330" s="110">
        <v>0</v>
      </c>
      <c r="E330" s="110">
        <v>0</v>
      </c>
      <c r="F330" s="110">
        <v>0</v>
      </c>
      <c r="G330" s="110">
        <v>0</v>
      </c>
      <c r="H330" s="110">
        <v>0</v>
      </c>
      <c r="I330" s="110">
        <v>0</v>
      </c>
      <c r="J330" s="110">
        <v>0</v>
      </c>
      <c r="K330" s="110">
        <v>0</v>
      </c>
      <c r="L330" s="110">
        <v>0</v>
      </c>
      <c r="M330" s="110">
        <v>0</v>
      </c>
      <c r="N330" s="110">
        <v>0</v>
      </c>
      <c r="O330" s="110">
        <v>0</v>
      </c>
      <c r="P330" s="110">
        <v>0</v>
      </c>
      <c r="Q330" s="110">
        <v>0</v>
      </c>
      <c r="R330" s="110">
        <v>0</v>
      </c>
      <c r="S330" s="110">
        <v>0</v>
      </c>
      <c r="T330" s="110">
        <v>0</v>
      </c>
      <c r="V330" s="209" t="s">
        <v>62</v>
      </c>
      <c r="W330" s="110">
        <v>0</v>
      </c>
      <c r="X330" s="110">
        <f>+[33]EEFF_Vías_Chi!Y330</f>
        <v>0</v>
      </c>
    </row>
    <row r="331" spans="2:24" ht="15">
      <c r="B331" s="181" t="s">
        <v>77</v>
      </c>
      <c r="C331" s="186">
        <v>60993</v>
      </c>
      <c r="D331" s="186">
        <v>53398</v>
      </c>
      <c r="E331" s="186">
        <v>49336</v>
      </c>
      <c r="F331" s="186">
        <v>46555</v>
      </c>
      <c r="G331" s="186">
        <v>41575</v>
      </c>
      <c r="H331" s="186">
        <v>36050</v>
      </c>
      <c r="I331" s="186">
        <v>34901</v>
      </c>
      <c r="J331" s="186">
        <v>32402</v>
      </c>
      <c r="K331" s="186">
        <v>27678</v>
      </c>
      <c r="L331" s="186">
        <v>23198</v>
      </c>
      <c r="M331" s="186">
        <v>20273</v>
      </c>
      <c r="N331" s="186">
        <v>19846</v>
      </c>
      <c r="O331" s="186">
        <v>16330</v>
      </c>
      <c r="P331" s="186">
        <f>SUM(P318:P330)</f>
        <v>10572.709472</v>
      </c>
      <c r="Q331" s="186">
        <f>SUM(Q318:Q330)</f>
        <v>5478.375379000001</v>
      </c>
      <c r="R331" s="186">
        <v>1544</v>
      </c>
      <c r="S331" s="186">
        <v>265</v>
      </c>
      <c r="T331" s="186">
        <v>228.44641999999999</v>
      </c>
      <c r="V331" s="181" t="s">
        <v>77</v>
      </c>
      <c r="W331" s="661">
        <v>205.263238</v>
      </c>
      <c r="X331" s="661">
        <f>+[33]EEFF_Vías_Chi!Y331</f>
        <v>172.61125900000002</v>
      </c>
    </row>
    <row r="332" spans="2:24" ht="15">
      <c r="B332" s="132" t="s">
        <v>78</v>
      </c>
      <c r="C332" s="185">
        <v>119158</v>
      </c>
      <c r="D332" s="185">
        <v>102433</v>
      </c>
      <c r="E332" s="185">
        <v>100289</v>
      </c>
      <c r="F332" s="185">
        <v>90303</v>
      </c>
      <c r="G332" s="185">
        <v>85196</v>
      </c>
      <c r="H332" s="185">
        <v>88122</v>
      </c>
      <c r="I332" s="185">
        <v>87498</v>
      </c>
      <c r="J332" s="185">
        <v>85713</v>
      </c>
      <c r="K332" s="185">
        <v>77947</v>
      </c>
      <c r="L332" s="185">
        <v>82561</v>
      </c>
      <c r="M332" s="185">
        <v>79266</v>
      </c>
      <c r="N332" s="185">
        <v>80013</v>
      </c>
      <c r="O332" s="185">
        <v>67704</v>
      </c>
      <c r="P332" s="185">
        <f>+P316+P331</f>
        <v>66380.592719000007</v>
      </c>
      <c r="Q332" s="185">
        <f>+Q316+Q331</f>
        <v>62383.802809999994</v>
      </c>
      <c r="R332" s="185">
        <v>56716</v>
      </c>
      <c r="S332" s="185">
        <v>49033</v>
      </c>
      <c r="T332" s="185">
        <v>47993.994243999994</v>
      </c>
      <c r="V332" s="132" t="s">
        <v>78</v>
      </c>
      <c r="W332" s="659">
        <v>47801.741240999996</v>
      </c>
      <c r="X332" s="659">
        <f>+[33]EEFF_Vías_Chi!Y332</f>
        <v>52235.885999999999</v>
      </c>
    </row>
    <row r="333" spans="2:24" ht="15">
      <c r="B333" s="134"/>
      <c r="C333" s="187"/>
      <c r="D333" s="187"/>
      <c r="E333" s="187"/>
      <c r="F333" s="187"/>
      <c r="G333" s="187"/>
      <c r="H333" s="187"/>
      <c r="I333" s="187"/>
      <c r="J333" s="187"/>
      <c r="K333" s="187"/>
      <c r="L333" s="187"/>
      <c r="M333" s="187"/>
      <c r="N333" s="187"/>
      <c r="O333" s="187"/>
      <c r="P333" s="46"/>
      <c r="Q333" s="46"/>
      <c r="T333" s="46"/>
      <c r="V333" s="134"/>
      <c r="W333" s="653"/>
      <c r="X333" s="653">
        <f>+[33]EEFF_Vías_Chi!Y333</f>
        <v>0</v>
      </c>
    </row>
    <row r="334" spans="2:24" ht="15">
      <c r="B334" s="188" t="s">
        <v>79</v>
      </c>
      <c r="C334" s="189"/>
      <c r="D334" s="189"/>
      <c r="E334" s="189"/>
      <c r="F334" s="189"/>
      <c r="G334" s="189"/>
      <c r="H334" s="189"/>
      <c r="I334" s="189"/>
      <c r="J334" s="189"/>
      <c r="K334" s="189"/>
      <c r="L334" s="189"/>
      <c r="M334" s="189"/>
      <c r="N334" s="189"/>
      <c r="O334" s="189"/>
      <c r="P334" s="189"/>
      <c r="Q334" s="189"/>
      <c r="R334" s="189"/>
      <c r="S334" s="189"/>
      <c r="T334" s="189"/>
      <c r="V334" s="188" t="s">
        <v>79</v>
      </c>
      <c r="W334" s="665"/>
      <c r="X334" s="665">
        <f>+[33]EEFF_Vías_Chi!Y334</f>
        <v>0</v>
      </c>
    </row>
    <row r="335" spans="2:24" ht="15">
      <c r="B335" s="181" t="s">
        <v>80</v>
      </c>
      <c r="C335" s="190"/>
      <c r="D335" s="190"/>
      <c r="E335" s="190"/>
      <c r="F335" s="190"/>
      <c r="G335" s="190"/>
      <c r="H335" s="190"/>
      <c r="I335" s="190"/>
      <c r="J335" s="190"/>
      <c r="K335" s="190"/>
      <c r="L335" s="190"/>
      <c r="M335" s="190"/>
      <c r="N335" s="190"/>
      <c r="O335" s="190"/>
      <c r="P335" s="190"/>
      <c r="Q335" s="190"/>
      <c r="R335" s="190"/>
      <c r="S335" s="190"/>
      <c r="T335" s="190"/>
      <c r="V335" s="181" t="s">
        <v>80</v>
      </c>
      <c r="W335" s="666"/>
      <c r="X335" s="666">
        <f>+[33]EEFF_Vías_Chi!Y335</f>
        <v>0</v>
      </c>
    </row>
    <row r="336" spans="2:24" ht="15.5">
      <c r="B336" s="209" t="s">
        <v>81</v>
      </c>
      <c r="C336" s="110">
        <v>20132</v>
      </c>
      <c r="D336" s="110">
        <v>9900</v>
      </c>
      <c r="E336" s="110">
        <v>9414</v>
      </c>
      <c r="F336" s="110">
        <v>9935</v>
      </c>
      <c r="G336" s="110">
        <v>10072</v>
      </c>
      <c r="H336" s="110">
        <v>10556</v>
      </c>
      <c r="I336" s="110">
        <v>12512</v>
      </c>
      <c r="J336" s="110">
        <v>13982</v>
      </c>
      <c r="K336" s="110">
        <v>14140</v>
      </c>
      <c r="L336" s="110">
        <v>11925</v>
      </c>
      <c r="M336" s="110">
        <v>11868</v>
      </c>
      <c r="N336" s="110">
        <v>12247</v>
      </c>
      <c r="O336" s="110">
        <v>12833</v>
      </c>
      <c r="P336" s="110">
        <v>13142.165004</v>
      </c>
      <c r="Q336" s="110">
        <v>12788.459242000001</v>
      </c>
      <c r="R336" s="110">
        <v>12926</v>
      </c>
      <c r="S336" s="110">
        <v>11979</v>
      </c>
      <c r="T336" s="110">
        <v>17165.356041999999</v>
      </c>
      <c r="V336" s="209" t="s">
        <v>81</v>
      </c>
      <c r="W336" s="110">
        <v>12114.306224</v>
      </c>
      <c r="X336" s="110">
        <f>+[33]EEFF_Vías_Chi!Y336</f>
        <v>12633.277212000001</v>
      </c>
    </row>
    <row r="337" spans="2:24" ht="15.5">
      <c r="B337" s="209" t="s">
        <v>82</v>
      </c>
      <c r="C337" s="110">
        <v>1111</v>
      </c>
      <c r="D337" s="110">
        <v>1391</v>
      </c>
      <c r="E337" s="110">
        <v>1181</v>
      </c>
      <c r="F337" s="110">
        <v>1409</v>
      </c>
      <c r="G337" s="110">
        <v>699</v>
      </c>
      <c r="H337" s="110">
        <v>1646</v>
      </c>
      <c r="I337" s="110">
        <v>1406</v>
      </c>
      <c r="J337" s="110">
        <v>2005</v>
      </c>
      <c r="K337" s="110">
        <v>811</v>
      </c>
      <c r="L337" s="110">
        <v>2416</v>
      </c>
      <c r="M337" s="110">
        <v>3039</v>
      </c>
      <c r="N337" s="110">
        <v>1702</v>
      </c>
      <c r="O337" s="110">
        <v>1497</v>
      </c>
      <c r="P337" s="110">
        <v>2702.855693</v>
      </c>
      <c r="Q337" s="110">
        <f>3592.262036-1.458163</f>
        <v>3590.8038730000003</v>
      </c>
      <c r="R337" s="110">
        <v>1806</v>
      </c>
      <c r="S337" s="110">
        <v>1951</v>
      </c>
      <c r="T337" s="110">
        <v>3057.4217720000001</v>
      </c>
      <c r="V337" s="209" t="s">
        <v>82</v>
      </c>
      <c r="W337" s="110">
        <v>6128.5586739999999</v>
      </c>
      <c r="X337" s="110">
        <f>+[33]EEFF_Vías_Chi!Y337</f>
        <v>7334.3334029999996</v>
      </c>
    </row>
    <row r="338" spans="2:24" ht="15.5">
      <c r="B338" s="209" t="s">
        <v>84</v>
      </c>
      <c r="C338" s="110">
        <v>25</v>
      </c>
      <c r="D338" s="110">
        <v>27</v>
      </c>
      <c r="E338" s="110">
        <v>29</v>
      </c>
      <c r="F338" s="110">
        <v>25</v>
      </c>
      <c r="G338" s="110">
        <v>25</v>
      </c>
      <c r="H338" s="110">
        <v>20</v>
      </c>
      <c r="I338" s="110">
        <v>18</v>
      </c>
      <c r="J338" s="110">
        <v>20</v>
      </c>
      <c r="K338" s="110">
        <v>22</v>
      </c>
      <c r="L338" s="110">
        <v>22</v>
      </c>
      <c r="M338" s="110">
        <v>20</v>
      </c>
      <c r="N338" s="110">
        <v>24</v>
      </c>
      <c r="O338" s="110">
        <v>28</v>
      </c>
      <c r="P338" s="110">
        <v>27.7438</v>
      </c>
      <c r="Q338" s="110">
        <v>25.718830000000001</v>
      </c>
      <c r="R338" s="110">
        <v>27</v>
      </c>
      <c r="S338" s="110">
        <v>28</v>
      </c>
      <c r="T338" s="110">
        <v>70.720622000000006</v>
      </c>
      <c r="V338" s="209" t="s">
        <v>84</v>
      </c>
      <c r="W338" s="110">
        <v>22.854851</v>
      </c>
      <c r="X338" s="110">
        <f>+[33]EEFF_Vías_Chi!Y338</f>
        <v>21.778455000000001</v>
      </c>
    </row>
    <row r="339" spans="2:24" ht="15.5">
      <c r="B339" s="209" t="s">
        <v>59</v>
      </c>
      <c r="C339" s="110">
        <v>0</v>
      </c>
      <c r="D339" s="110">
        <v>4053</v>
      </c>
      <c r="E339" s="110">
        <v>5426</v>
      </c>
      <c r="F339" s="110">
        <v>2598</v>
      </c>
      <c r="G339" s="110">
        <v>3834</v>
      </c>
      <c r="H339" s="110">
        <v>5005</v>
      </c>
      <c r="I339" s="110">
        <v>6448</v>
      </c>
      <c r="J339" s="110">
        <v>2898</v>
      </c>
      <c r="K339" s="110">
        <v>4361</v>
      </c>
      <c r="L339" s="110">
        <v>6422</v>
      </c>
      <c r="M339" s="110">
        <v>7575</v>
      </c>
      <c r="N339" s="110">
        <v>8241</v>
      </c>
      <c r="O339" s="110">
        <v>3508</v>
      </c>
      <c r="P339" s="110">
        <v>4053.0872460000001</v>
      </c>
      <c r="Q339" s="110">
        <f>5281.759509+1.458163</f>
        <v>5283.2176720000007</v>
      </c>
      <c r="R339" s="110">
        <v>3008</v>
      </c>
      <c r="S339" s="110">
        <v>4769</v>
      </c>
      <c r="T339" s="110">
        <v>2098.483956</v>
      </c>
      <c r="V339" s="209" t="s">
        <v>59</v>
      </c>
      <c r="W339" s="110">
        <v>563.84482600000001</v>
      </c>
      <c r="X339" s="110">
        <f>+[33]EEFF_Vías_Chi!Y339</f>
        <v>234.23590300000001</v>
      </c>
    </row>
    <row r="340" spans="2:24" ht="15.5">
      <c r="B340" s="209" t="s">
        <v>85</v>
      </c>
      <c r="C340" s="110">
        <v>3191</v>
      </c>
      <c r="D340" s="110">
        <v>2236</v>
      </c>
      <c r="E340" s="110">
        <v>1829</v>
      </c>
      <c r="F340" s="110">
        <v>0</v>
      </c>
      <c r="G340" s="110">
        <v>66</v>
      </c>
      <c r="H340" s="110">
        <v>1379</v>
      </c>
      <c r="I340" s="110">
        <v>955</v>
      </c>
      <c r="J340" s="110">
        <v>431</v>
      </c>
      <c r="K340" s="110">
        <v>280</v>
      </c>
      <c r="L340" s="110">
        <v>758</v>
      </c>
      <c r="M340" s="110">
        <v>140</v>
      </c>
      <c r="N340" s="110">
        <v>140</v>
      </c>
      <c r="O340" s="110">
        <v>108</v>
      </c>
      <c r="P340" s="110">
        <v>257.05323099999998</v>
      </c>
      <c r="Q340" s="110">
        <v>93.480264000000005</v>
      </c>
      <c r="R340" s="110">
        <v>21</v>
      </c>
      <c r="S340" s="110">
        <v>36</v>
      </c>
      <c r="T340" s="110">
        <v>202.369111</v>
      </c>
      <c r="V340" s="209" t="s">
        <v>85</v>
      </c>
      <c r="W340" s="110">
        <v>628.80564100000004</v>
      </c>
      <c r="X340" s="110">
        <f>+[33]EEFF_Vías_Chi!Y340</f>
        <v>1292.828348</v>
      </c>
    </row>
    <row r="341" spans="2:24" ht="15.5">
      <c r="B341" s="209" t="s">
        <v>83</v>
      </c>
      <c r="C341" s="110">
        <v>72</v>
      </c>
      <c r="D341" s="110">
        <v>124</v>
      </c>
      <c r="E341" s="110">
        <v>84</v>
      </c>
      <c r="F341" s="110">
        <v>96</v>
      </c>
      <c r="G341" s="110">
        <v>117</v>
      </c>
      <c r="H341" s="110">
        <v>127</v>
      </c>
      <c r="I341" s="110">
        <v>84</v>
      </c>
      <c r="J341" s="110">
        <v>2593</v>
      </c>
      <c r="K341" s="110">
        <v>104</v>
      </c>
      <c r="L341" s="110">
        <v>1497</v>
      </c>
      <c r="M341" s="110">
        <v>1463</v>
      </c>
      <c r="N341" s="110">
        <v>96</v>
      </c>
      <c r="O341" s="110">
        <v>106</v>
      </c>
      <c r="P341" s="110">
        <v>538.99136799999997</v>
      </c>
      <c r="Q341" s="110">
        <v>508.37379099999998</v>
      </c>
      <c r="R341" s="110">
        <v>100</v>
      </c>
      <c r="S341" s="110">
        <v>139</v>
      </c>
      <c r="T341" s="110">
        <v>1118.1063429999999</v>
      </c>
      <c r="V341" s="209" t="s">
        <v>83</v>
      </c>
      <c r="W341" s="110">
        <v>1043.770372</v>
      </c>
      <c r="X341" s="110">
        <f>+[33]EEFF_Vías_Chi!Y341</f>
        <v>150.36559199999999</v>
      </c>
    </row>
    <row r="342" spans="2:24" ht="15.5">
      <c r="B342" s="209" t="s">
        <v>86</v>
      </c>
      <c r="C342" s="110">
        <v>569</v>
      </c>
      <c r="D342" s="110">
        <v>0</v>
      </c>
      <c r="E342" s="110">
        <v>0</v>
      </c>
      <c r="F342" s="110">
        <v>0</v>
      </c>
      <c r="G342" s="110">
        <v>0</v>
      </c>
      <c r="H342" s="110">
        <v>0</v>
      </c>
      <c r="I342" s="110">
        <v>0</v>
      </c>
      <c r="J342" s="110">
        <v>0</v>
      </c>
      <c r="K342" s="110">
        <v>0</v>
      </c>
      <c r="L342" s="110">
        <v>0</v>
      </c>
      <c r="M342" s="110">
        <v>0</v>
      </c>
      <c r="N342" s="110">
        <v>0</v>
      </c>
      <c r="O342" s="110">
        <v>0</v>
      </c>
      <c r="P342" s="110">
        <v>0</v>
      </c>
      <c r="Q342" s="110">
        <v>0</v>
      </c>
      <c r="R342" s="110">
        <v>0</v>
      </c>
      <c r="S342" s="110">
        <v>0</v>
      </c>
      <c r="T342" s="110">
        <v>0</v>
      </c>
      <c r="V342" s="209" t="s">
        <v>86</v>
      </c>
      <c r="W342" s="110">
        <v>0</v>
      </c>
      <c r="X342" s="110">
        <f>+[33]EEFF_Vías_Chi!Y342</f>
        <v>0</v>
      </c>
    </row>
    <row r="343" spans="2:24" ht="15.5">
      <c r="B343" s="209" t="s">
        <v>115</v>
      </c>
      <c r="C343" s="110">
        <v>0</v>
      </c>
      <c r="D343" s="110">
        <v>0</v>
      </c>
      <c r="E343" s="110">
        <v>0</v>
      </c>
      <c r="F343" s="110">
        <v>0</v>
      </c>
      <c r="G343" s="110">
        <v>0</v>
      </c>
      <c r="H343" s="110">
        <v>0</v>
      </c>
      <c r="I343" s="110">
        <v>0</v>
      </c>
      <c r="J343" s="110">
        <v>0</v>
      </c>
      <c r="K343" s="110">
        <v>0</v>
      </c>
      <c r="L343" s="110">
        <v>0</v>
      </c>
      <c r="M343" s="110">
        <v>0</v>
      </c>
      <c r="N343" s="110">
        <v>0</v>
      </c>
      <c r="O343" s="110">
        <v>0</v>
      </c>
      <c r="P343" s="110">
        <v>0</v>
      </c>
      <c r="Q343" s="110">
        <v>0</v>
      </c>
      <c r="R343" s="110">
        <v>0</v>
      </c>
      <c r="S343" s="110">
        <v>0</v>
      </c>
      <c r="T343" s="110">
        <v>0</v>
      </c>
      <c r="V343" s="209" t="s">
        <v>115</v>
      </c>
      <c r="W343" s="110">
        <v>0</v>
      </c>
      <c r="X343" s="110">
        <f>+[33]EEFF_Vías_Chi!Y343</f>
        <v>0</v>
      </c>
    </row>
    <row r="344" spans="2:24" ht="15">
      <c r="B344" s="181" t="s">
        <v>88</v>
      </c>
      <c r="C344" s="186">
        <v>25100</v>
      </c>
      <c r="D344" s="186">
        <v>17731</v>
      </c>
      <c r="E344" s="186">
        <v>17963</v>
      </c>
      <c r="F344" s="186">
        <v>14063</v>
      </c>
      <c r="G344" s="186">
        <v>14813</v>
      </c>
      <c r="H344" s="186">
        <v>18733</v>
      </c>
      <c r="I344" s="186">
        <v>21423</v>
      </c>
      <c r="J344" s="186">
        <v>21929</v>
      </c>
      <c r="K344" s="186">
        <v>19718</v>
      </c>
      <c r="L344" s="186">
        <v>23040</v>
      </c>
      <c r="M344" s="186">
        <v>24105</v>
      </c>
      <c r="N344" s="186">
        <v>22450</v>
      </c>
      <c r="O344" s="186">
        <v>18080</v>
      </c>
      <c r="P344" s="186">
        <f>SUM(P336:P343)</f>
        <v>20721.896342</v>
      </c>
      <c r="Q344" s="186">
        <f>SUM(Q336:Q343)</f>
        <v>22290.053672000009</v>
      </c>
      <c r="R344" s="186">
        <v>17888</v>
      </c>
      <c r="S344" s="186">
        <v>18902</v>
      </c>
      <c r="T344" s="186">
        <v>23712.457846000001</v>
      </c>
      <c r="V344" s="181" t="s">
        <v>88</v>
      </c>
      <c r="W344" s="661">
        <v>20502.140587999998</v>
      </c>
      <c r="X344" s="661">
        <f>+[33]EEFF_Vías_Chi!Y344</f>
        <v>21666.818912999999</v>
      </c>
    </row>
    <row r="345" spans="2:24" ht="15">
      <c r="B345" s="191" t="s">
        <v>89</v>
      </c>
      <c r="C345" s="192"/>
      <c r="D345" s="192"/>
      <c r="E345" s="192"/>
      <c r="F345" s="192"/>
      <c r="G345" s="192"/>
      <c r="H345" s="192"/>
      <c r="I345" s="192"/>
      <c r="J345" s="192"/>
      <c r="K345" s="192"/>
      <c r="L345" s="192"/>
      <c r="M345" s="192"/>
      <c r="N345" s="192"/>
      <c r="O345" s="192"/>
      <c r="P345" s="192"/>
      <c r="Q345" s="192"/>
      <c r="R345" s="192"/>
      <c r="S345" s="192"/>
      <c r="T345" s="192"/>
      <c r="V345" s="191" t="s">
        <v>89</v>
      </c>
      <c r="W345" s="662"/>
      <c r="X345" s="662">
        <f>+[33]EEFF_Vías_Chi!Y345</f>
        <v>0</v>
      </c>
    </row>
    <row r="346" spans="2:24" ht="15.5">
      <c r="B346" s="209" t="s">
        <v>81</v>
      </c>
      <c r="C346" s="110">
        <v>46896</v>
      </c>
      <c r="D346" s="110">
        <v>39599</v>
      </c>
      <c r="E346" s="110">
        <v>36378</v>
      </c>
      <c r="F346" s="110">
        <v>36685</v>
      </c>
      <c r="G346" s="110">
        <v>30663</v>
      </c>
      <c r="H346" s="110">
        <v>30914</v>
      </c>
      <c r="I346" s="110">
        <v>33681</v>
      </c>
      <c r="J346" s="110">
        <v>33751</v>
      </c>
      <c r="K346" s="110">
        <v>27483</v>
      </c>
      <c r="L346" s="110">
        <v>30216</v>
      </c>
      <c r="M346" s="110">
        <v>25453</v>
      </c>
      <c r="N346" s="110">
        <v>25681</v>
      </c>
      <c r="O346" s="110">
        <v>18268</v>
      </c>
      <c r="P346" s="110">
        <v>18591.780223000002</v>
      </c>
      <c r="Q346" s="110">
        <v>13874.242792999999</v>
      </c>
      <c r="R346" s="110">
        <v>14219</v>
      </c>
      <c r="S346" s="110">
        <v>7207</v>
      </c>
      <c r="T346" s="110">
        <v>1526.1915349999999</v>
      </c>
      <c r="V346" s="209" t="s">
        <v>81</v>
      </c>
      <c r="W346" s="110">
        <v>2985.8829639999999</v>
      </c>
      <c r="X346" s="110">
        <f>+[33]EEFF_Vías_Chi!Y346</f>
        <v>8159.7021400000003</v>
      </c>
    </row>
    <row r="347" spans="2:24" ht="15.5">
      <c r="B347" s="209" t="s">
        <v>82</v>
      </c>
      <c r="C347" s="110">
        <v>0</v>
      </c>
      <c r="D347" s="110">
        <v>0</v>
      </c>
      <c r="E347" s="110">
        <v>0</v>
      </c>
      <c r="F347" s="110">
        <v>0</v>
      </c>
      <c r="G347" s="110">
        <v>0</v>
      </c>
      <c r="H347" s="110">
        <v>0</v>
      </c>
      <c r="I347" s="110">
        <v>0</v>
      </c>
      <c r="J347" s="110">
        <v>124</v>
      </c>
      <c r="K347" s="110">
        <v>112</v>
      </c>
      <c r="L347" s="110">
        <v>94</v>
      </c>
      <c r="M347" s="110">
        <v>77</v>
      </c>
      <c r="N347" s="110">
        <v>65</v>
      </c>
      <c r="O347" s="110">
        <v>55</v>
      </c>
      <c r="P347" s="110">
        <v>43.459302999999998</v>
      </c>
      <c r="Q347" s="110">
        <v>42.813394000000002</v>
      </c>
      <c r="R347" s="110">
        <v>40</v>
      </c>
      <c r="S347" s="110">
        <v>48</v>
      </c>
      <c r="T347" s="110">
        <v>38.684803000000002</v>
      </c>
      <c r="V347" s="209" t="s">
        <v>82</v>
      </c>
      <c r="W347" s="110">
        <v>30.512238</v>
      </c>
      <c r="X347" s="110">
        <f>+[33]EEFF_Vías_Chi!Y347</f>
        <v>25.281797999999998</v>
      </c>
    </row>
    <row r="348" spans="2:24" ht="15.5">
      <c r="B348" s="209" t="s">
        <v>90</v>
      </c>
      <c r="C348" s="110">
        <v>0</v>
      </c>
      <c r="D348" s="110">
        <v>0</v>
      </c>
      <c r="E348" s="110">
        <v>0</v>
      </c>
      <c r="F348" s="110">
        <v>0</v>
      </c>
      <c r="G348" s="110">
        <v>0</v>
      </c>
      <c r="H348" s="110">
        <v>0</v>
      </c>
      <c r="I348" s="110">
        <v>0</v>
      </c>
      <c r="J348" s="110">
        <v>0</v>
      </c>
      <c r="K348" s="110">
        <v>0</v>
      </c>
      <c r="L348" s="110">
        <v>0</v>
      </c>
      <c r="M348" s="110">
        <v>0</v>
      </c>
      <c r="N348" s="110">
        <v>0</v>
      </c>
      <c r="O348" s="110">
        <v>0</v>
      </c>
      <c r="P348" s="110">
        <v>0</v>
      </c>
      <c r="Q348" s="110">
        <v>0</v>
      </c>
      <c r="R348" s="110">
        <v>0</v>
      </c>
      <c r="S348" s="110">
        <v>0</v>
      </c>
      <c r="T348" s="110">
        <v>0</v>
      </c>
      <c r="V348" s="209" t="s">
        <v>90</v>
      </c>
      <c r="W348" s="110">
        <v>0</v>
      </c>
      <c r="X348" s="110">
        <f>+[33]EEFF_Vías_Chi!Y348</f>
        <v>0</v>
      </c>
    </row>
    <row r="349" spans="2:24" ht="15.5">
      <c r="B349" s="209" t="s">
        <v>84</v>
      </c>
      <c r="C349" s="110">
        <v>0</v>
      </c>
      <c r="D349" s="110">
        <v>0</v>
      </c>
      <c r="E349" s="110">
        <v>0</v>
      </c>
      <c r="F349" s="110">
        <v>0</v>
      </c>
      <c r="G349" s="110">
        <v>0</v>
      </c>
      <c r="H349" s="110">
        <v>0</v>
      </c>
      <c r="I349" s="110">
        <v>0</v>
      </c>
      <c r="J349" s="110">
        <v>0</v>
      </c>
      <c r="K349" s="110">
        <v>0</v>
      </c>
      <c r="L349" s="110">
        <v>0</v>
      </c>
      <c r="M349" s="110">
        <v>0</v>
      </c>
      <c r="N349" s="110">
        <v>0</v>
      </c>
      <c r="O349" s="110">
        <v>0</v>
      </c>
      <c r="P349" s="110">
        <v>0</v>
      </c>
      <c r="Q349" s="110">
        <v>0</v>
      </c>
      <c r="R349" s="110">
        <v>0</v>
      </c>
      <c r="S349" s="110">
        <v>0</v>
      </c>
      <c r="T349" s="110">
        <v>0</v>
      </c>
      <c r="V349" s="209" t="s">
        <v>84</v>
      </c>
      <c r="W349" s="110">
        <v>0</v>
      </c>
      <c r="X349" s="110">
        <f>+[33]EEFF_Vías_Chi!Y349</f>
        <v>0</v>
      </c>
    </row>
    <row r="350" spans="2:24" ht="15.5">
      <c r="B350" s="209" t="s">
        <v>85</v>
      </c>
      <c r="C350" s="110">
        <v>0</v>
      </c>
      <c r="D350" s="110">
        <v>0</v>
      </c>
      <c r="E350" s="110">
        <v>0</v>
      </c>
      <c r="F350" s="110">
        <v>0</v>
      </c>
      <c r="G350" s="110">
        <v>0</v>
      </c>
      <c r="H350" s="110">
        <v>0</v>
      </c>
      <c r="I350" s="110">
        <v>0</v>
      </c>
      <c r="J350" s="110">
        <v>0</v>
      </c>
      <c r="K350" s="110">
        <v>0</v>
      </c>
      <c r="L350" s="110">
        <v>0</v>
      </c>
      <c r="M350" s="110">
        <v>0</v>
      </c>
      <c r="N350" s="110">
        <v>0</v>
      </c>
      <c r="O350" s="110">
        <v>0</v>
      </c>
      <c r="P350" s="110">
        <v>0</v>
      </c>
      <c r="Q350" s="110">
        <v>0</v>
      </c>
      <c r="R350" s="110">
        <v>0</v>
      </c>
      <c r="S350" s="110">
        <v>0</v>
      </c>
      <c r="T350" s="110">
        <v>0</v>
      </c>
      <c r="V350" s="209" t="s">
        <v>85</v>
      </c>
      <c r="W350" s="110">
        <v>0</v>
      </c>
      <c r="X350" s="110">
        <f>+[33]EEFF_Vías_Chi!Y350</f>
        <v>0</v>
      </c>
    </row>
    <row r="351" spans="2:24" ht="15.5">
      <c r="B351" s="209" t="s">
        <v>86</v>
      </c>
      <c r="C351" s="110">
        <v>0</v>
      </c>
      <c r="D351" s="110">
        <v>0</v>
      </c>
      <c r="E351" s="110">
        <v>0</v>
      </c>
      <c r="F351" s="110">
        <v>0</v>
      </c>
      <c r="G351" s="110">
        <v>0</v>
      </c>
      <c r="H351" s="110">
        <v>0</v>
      </c>
      <c r="I351" s="110">
        <v>0</v>
      </c>
      <c r="J351" s="110">
        <v>0</v>
      </c>
      <c r="K351" s="110">
        <v>0</v>
      </c>
      <c r="L351" s="110">
        <v>0</v>
      </c>
      <c r="M351" s="110">
        <v>0</v>
      </c>
      <c r="N351" s="110">
        <v>0</v>
      </c>
      <c r="O351" s="110">
        <v>0</v>
      </c>
      <c r="P351" s="110">
        <v>0</v>
      </c>
      <c r="Q351" s="110">
        <v>0</v>
      </c>
      <c r="R351" s="110">
        <v>0</v>
      </c>
      <c r="S351" s="110">
        <v>0</v>
      </c>
      <c r="T351" s="110">
        <v>0</v>
      </c>
      <c r="V351" s="209" t="s">
        <v>86</v>
      </c>
      <c r="W351" s="110">
        <v>0</v>
      </c>
      <c r="X351" s="110">
        <f>+[33]EEFF_Vías_Chi!Y351</f>
        <v>0</v>
      </c>
    </row>
    <row r="352" spans="2:24" ht="15.5">
      <c r="B352" s="209" t="s">
        <v>116</v>
      </c>
      <c r="C352" s="110">
        <v>23228</v>
      </c>
      <c r="D352" s="110">
        <v>21494</v>
      </c>
      <c r="E352" s="110">
        <v>20755</v>
      </c>
      <c r="F352" s="110">
        <v>20101</v>
      </c>
      <c r="G352" s="110">
        <v>19300</v>
      </c>
      <c r="H352" s="110">
        <v>18450</v>
      </c>
      <c r="I352" s="110">
        <v>17573</v>
      </c>
      <c r="J352" s="110">
        <v>16958</v>
      </c>
      <c r="K352" s="110">
        <v>16174</v>
      </c>
      <c r="L352" s="110">
        <v>15043</v>
      </c>
      <c r="M352" s="110">
        <v>14115</v>
      </c>
      <c r="N352" s="110">
        <v>13618</v>
      </c>
      <c r="O352" s="110">
        <v>12787</v>
      </c>
      <c r="P352" s="110">
        <v>12047.511995999999</v>
      </c>
      <c r="Q352" s="110">
        <v>10866.412129</v>
      </c>
      <c r="R352" s="110">
        <v>9641</v>
      </c>
      <c r="S352" s="110">
        <v>7216</v>
      </c>
      <c r="T352" s="110">
        <v>6488.8747430000003</v>
      </c>
      <c r="V352" s="209" t="s">
        <v>116</v>
      </c>
      <c r="W352" s="110">
        <v>6914.3437469999999</v>
      </c>
      <c r="X352" s="110">
        <f>+[33]EEFF_Vías_Chi!Y352</f>
        <v>4758.6491880000003</v>
      </c>
    </row>
    <row r="353" spans="2:24" ht="15">
      <c r="B353" s="181" t="s">
        <v>91</v>
      </c>
      <c r="C353" s="186">
        <v>70124</v>
      </c>
      <c r="D353" s="186">
        <v>61093</v>
      </c>
      <c r="E353" s="186">
        <v>57133</v>
      </c>
      <c r="F353" s="186">
        <v>56786</v>
      </c>
      <c r="G353" s="186">
        <v>49963</v>
      </c>
      <c r="H353" s="186">
        <v>49364</v>
      </c>
      <c r="I353" s="186">
        <v>51254</v>
      </c>
      <c r="J353" s="186">
        <v>50833</v>
      </c>
      <c r="K353" s="186">
        <v>43769</v>
      </c>
      <c r="L353" s="186">
        <v>45353</v>
      </c>
      <c r="M353" s="186">
        <v>39645</v>
      </c>
      <c r="N353" s="186">
        <v>39364</v>
      </c>
      <c r="O353" s="186">
        <v>31110</v>
      </c>
      <c r="P353" s="186">
        <f>SUM(P346:P352)</f>
        <v>30682.751521999999</v>
      </c>
      <c r="Q353" s="186">
        <f>SUM(Q346:Q352)</f>
        <v>24783.468315999999</v>
      </c>
      <c r="R353" s="186">
        <v>23900</v>
      </c>
      <c r="S353" s="186">
        <v>14471</v>
      </c>
      <c r="T353" s="186">
        <v>8053.7510810000003</v>
      </c>
      <c r="V353" s="181" t="s">
        <v>91</v>
      </c>
      <c r="W353" s="661">
        <v>9930.7389489999987</v>
      </c>
      <c r="X353" s="661">
        <f>+[33]EEFF_Vías_Chi!Y353</f>
        <v>12943.633126000001</v>
      </c>
    </row>
    <row r="354" spans="2:24" ht="15">
      <c r="B354" s="132" t="s">
        <v>92</v>
      </c>
      <c r="C354" s="185">
        <v>95224</v>
      </c>
      <c r="D354" s="185">
        <v>78824</v>
      </c>
      <c r="E354" s="185">
        <v>75096</v>
      </c>
      <c r="F354" s="185">
        <v>70849</v>
      </c>
      <c r="G354" s="185">
        <v>64776</v>
      </c>
      <c r="H354" s="185">
        <v>68097</v>
      </c>
      <c r="I354" s="185">
        <v>72677</v>
      </c>
      <c r="J354" s="185">
        <v>72762</v>
      </c>
      <c r="K354" s="185">
        <v>63487</v>
      </c>
      <c r="L354" s="185">
        <v>68393</v>
      </c>
      <c r="M354" s="185">
        <v>63750</v>
      </c>
      <c r="N354" s="185">
        <v>61814</v>
      </c>
      <c r="O354" s="185">
        <v>49190</v>
      </c>
      <c r="P354" s="185">
        <f>+P344+P353</f>
        <v>51404.647863999999</v>
      </c>
      <c r="Q354" s="185">
        <f>+Q344+Q353</f>
        <v>47073.521988000008</v>
      </c>
      <c r="R354" s="185">
        <v>41788</v>
      </c>
      <c r="S354" s="185">
        <v>33373</v>
      </c>
      <c r="T354" s="185">
        <v>31766.208927</v>
      </c>
      <c r="V354" s="132" t="s">
        <v>92</v>
      </c>
      <c r="W354" s="659">
        <v>30432.879536999997</v>
      </c>
      <c r="X354" s="659">
        <f>+[33]EEFF_Vías_Chi!Y354</f>
        <v>34610.452038999996</v>
      </c>
    </row>
    <row r="355" spans="2:24" ht="15">
      <c r="B355" s="134"/>
      <c r="C355" s="187"/>
      <c r="D355" s="187"/>
      <c r="E355" s="187"/>
      <c r="F355" s="187"/>
      <c r="G355" s="187"/>
      <c r="H355" s="187"/>
      <c r="I355" s="187"/>
      <c r="J355" s="187"/>
      <c r="K355" s="187"/>
      <c r="L355" s="187"/>
      <c r="M355" s="187"/>
      <c r="N355" s="187"/>
      <c r="O355" s="187"/>
      <c r="P355" s="187"/>
      <c r="Q355" s="187"/>
      <c r="R355" s="187"/>
      <c r="S355" s="187">
        <v>0</v>
      </c>
      <c r="T355" s="187"/>
      <c r="V355" s="134"/>
      <c r="W355" s="663"/>
      <c r="X355" s="663">
        <f>+[33]EEFF_Vías_Chi!Y355</f>
        <v>0</v>
      </c>
    </row>
    <row r="356" spans="2:24" ht="15">
      <c r="B356" s="191" t="s">
        <v>93</v>
      </c>
      <c r="C356" s="192"/>
      <c r="D356" s="192"/>
      <c r="E356" s="192"/>
      <c r="F356" s="192"/>
      <c r="G356" s="192"/>
      <c r="H356" s="192"/>
      <c r="I356" s="192"/>
      <c r="J356" s="192"/>
      <c r="K356" s="192"/>
      <c r="L356" s="192"/>
      <c r="M356" s="192"/>
      <c r="N356" s="192"/>
      <c r="O356" s="192"/>
      <c r="P356" s="192"/>
      <c r="Q356" s="192"/>
      <c r="R356" s="192"/>
      <c r="S356" s="192">
        <v>0</v>
      </c>
      <c r="T356" s="192"/>
      <c r="V356" s="191" t="s">
        <v>93</v>
      </c>
      <c r="W356" s="662"/>
      <c r="X356" s="662">
        <f>+[33]EEFF_Vías_Chi!Y356</f>
        <v>0</v>
      </c>
    </row>
    <row r="357" spans="2:24" ht="15.5">
      <c r="B357" s="209" t="s">
        <v>94</v>
      </c>
      <c r="C357" s="110">
        <v>12982</v>
      </c>
      <c r="D357" s="110">
        <v>12982</v>
      </c>
      <c r="E357" s="110">
        <v>12982</v>
      </c>
      <c r="F357" s="110">
        <v>12982</v>
      </c>
      <c r="G357" s="110">
        <v>12982</v>
      </c>
      <c r="H357" s="110">
        <v>12982</v>
      </c>
      <c r="I357" s="110">
        <v>12982</v>
      </c>
      <c r="J357" s="110">
        <v>9650</v>
      </c>
      <c r="K357" s="110">
        <v>9650</v>
      </c>
      <c r="L357" s="110">
        <v>9650</v>
      </c>
      <c r="M357" s="110">
        <v>9650</v>
      </c>
      <c r="N357" s="110">
        <v>9650</v>
      </c>
      <c r="O357" s="110">
        <v>9650</v>
      </c>
      <c r="P357" s="110">
        <v>9650.4594660000002</v>
      </c>
      <c r="Q357" s="110">
        <v>9650.4594660000002</v>
      </c>
      <c r="R357" s="110">
        <v>9650.4594660000002</v>
      </c>
      <c r="S357" s="110">
        <v>9650.4594660000002</v>
      </c>
      <c r="T357" s="110">
        <v>9650.4594660000002</v>
      </c>
      <c r="V357" s="209" t="s">
        <v>94</v>
      </c>
      <c r="W357" s="110">
        <v>9650.4594660000002</v>
      </c>
      <c r="X357" s="110">
        <f>+[33]EEFF_Vías_Chi!Y357</f>
        <v>9650.4594660000002</v>
      </c>
    </row>
    <row r="358" spans="2:24" ht="15.5">
      <c r="B358" s="209" t="s">
        <v>95</v>
      </c>
      <c r="C358" s="110">
        <v>0</v>
      </c>
      <c r="D358" s="110">
        <v>0</v>
      </c>
      <c r="E358" s="110">
        <v>0</v>
      </c>
      <c r="F358" s="110">
        <v>0</v>
      </c>
      <c r="G358" s="110">
        <v>0</v>
      </c>
      <c r="H358" s="110">
        <v>0</v>
      </c>
      <c r="I358" s="110">
        <v>0</v>
      </c>
      <c r="J358" s="110">
        <v>0</v>
      </c>
      <c r="K358" s="110">
        <v>0</v>
      </c>
      <c r="L358" s="110">
        <v>0</v>
      </c>
      <c r="M358" s="110">
        <v>0</v>
      </c>
      <c r="N358" s="110">
        <v>0</v>
      </c>
      <c r="O358" s="110">
        <v>0</v>
      </c>
      <c r="P358" s="110">
        <v>0</v>
      </c>
      <c r="Q358" s="110">
        <v>0</v>
      </c>
      <c r="R358" s="110">
        <v>0</v>
      </c>
      <c r="S358" s="110">
        <v>0</v>
      </c>
      <c r="T358" s="110">
        <v>0</v>
      </c>
      <c r="V358" s="209" t="s">
        <v>95</v>
      </c>
      <c r="W358" s="110">
        <v>0</v>
      </c>
      <c r="X358" s="110">
        <f>+[33]EEFF_Vías_Chi!Y358</f>
        <v>0</v>
      </c>
    </row>
    <row r="359" spans="2:24" ht="15.5">
      <c r="B359" s="209" t="s">
        <v>96</v>
      </c>
      <c r="C359" s="110">
        <v>0</v>
      </c>
      <c r="D359" s="110">
        <v>0</v>
      </c>
      <c r="E359" s="110">
        <v>0</v>
      </c>
      <c r="F359" s="110">
        <v>0</v>
      </c>
      <c r="G359" s="110">
        <v>0</v>
      </c>
      <c r="H359" s="110">
        <v>0</v>
      </c>
      <c r="I359" s="110">
        <v>0</v>
      </c>
      <c r="J359" s="110">
        <v>0</v>
      </c>
      <c r="K359" s="110">
        <v>0</v>
      </c>
      <c r="L359" s="110">
        <v>0</v>
      </c>
      <c r="M359" s="110">
        <v>0</v>
      </c>
      <c r="N359" s="110">
        <v>0</v>
      </c>
      <c r="O359" s="110">
        <v>0</v>
      </c>
      <c r="P359" s="110">
        <v>0</v>
      </c>
      <c r="Q359" s="110">
        <v>0</v>
      </c>
      <c r="R359" s="110">
        <v>0</v>
      </c>
      <c r="S359" s="110">
        <v>0</v>
      </c>
      <c r="T359" s="110">
        <v>0</v>
      </c>
      <c r="V359" s="209" t="s">
        <v>96</v>
      </c>
      <c r="W359" s="110">
        <v>0</v>
      </c>
      <c r="X359" s="110">
        <f>+[33]EEFF_Vías_Chi!Y359</f>
        <v>0</v>
      </c>
    </row>
    <row r="360" spans="2:24" ht="15.5">
      <c r="B360" s="209" t="s">
        <v>97</v>
      </c>
      <c r="C360" s="110">
        <v>3322</v>
      </c>
      <c r="D360" s="110">
        <v>4531</v>
      </c>
      <c r="E360" s="110">
        <v>10627</v>
      </c>
      <c r="F360" s="110">
        <v>3826</v>
      </c>
      <c r="G360" s="110">
        <v>3826</v>
      </c>
      <c r="H360" s="110">
        <v>2447</v>
      </c>
      <c r="I360" s="110">
        <v>235</v>
      </c>
      <c r="J360" s="110">
        <v>235</v>
      </c>
      <c r="K360" s="110">
        <v>235</v>
      </c>
      <c r="L360" s="110">
        <v>-1600</v>
      </c>
      <c r="M360" s="110">
        <v>4517</v>
      </c>
      <c r="N360" s="110">
        <v>6353</v>
      </c>
      <c r="O360" s="110">
        <v>6353</v>
      </c>
      <c r="P360" s="110">
        <v>3478.084613</v>
      </c>
      <c r="Q360" s="110">
        <v>5325.4853899999998</v>
      </c>
      <c r="R360" s="110">
        <v>4787</v>
      </c>
      <c r="S360" s="110">
        <v>4787</v>
      </c>
      <c r="T360" s="110">
        <v>2452.3902840000001</v>
      </c>
      <c r="V360" s="209" t="s">
        <v>97</v>
      </c>
      <c r="W360" s="110">
        <v>6577.7258519999996</v>
      </c>
      <c r="X360" s="110">
        <f>+[33]EEFF_Vías_Chi!Y360</f>
        <v>4958.490135</v>
      </c>
    </row>
    <row r="361" spans="2:24" ht="15.5">
      <c r="B361" s="209" t="s">
        <v>98</v>
      </c>
      <c r="C361" s="110">
        <v>7630</v>
      </c>
      <c r="D361" s="110">
        <v>6096</v>
      </c>
      <c r="E361" s="110">
        <v>1584</v>
      </c>
      <c r="F361" s="110">
        <v>2646</v>
      </c>
      <c r="G361" s="110">
        <v>3612</v>
      </c>
      <c r="H361" s="110">
        <v>4596</v>
      </c>
      <c r="I361" s="110">
        <v>1604</v>
      </c>
      <c r="J361" s="110">
        <v>3066</v>
      </c>
      <c r="K361" s="110">
        <v>4575</v>
      </c>
      <c r="L361" s="110">
        <v>6118</v>
      </c>
      <c r="M361" s="110">
        <v>1349</v>
      </c>
      <c r="N361" s="110">
        <v>2196</v>
      </c>
      <c r="O361" s="110">
        <v>2511</v>
      </c>
      <c r="P361" s="110">
        <v>1847.4007770000001</v>
      </c>
      <c r="Q361" s="110">
        <v>334.33596699999998</v>
      </c>
      <c r="R361" s="110">
        <v>491</v>
      </c>
      <c r="S361" s="110">
        <v>1223</v>
      </c>
      <c r="T361" s="110">
        <v>4125.3355680000004</v>
      </c>
      <c r="V361" s="209" t="s">
        <v>98</v>
      </c>
      <c r="W361" s="110">
        <v>1140.676387</v>
      </c>
      <c r="X361" s="110">
        <f>+[33]EEFF_Vías_Chi!Y361</f>
        <v>3016.4843609999998</v>
      </c>
    </row>
    <row r="362" spans="2:24" ht="15.5">
      <c r="B362" s="209" t="s">
        <v>99</v>
      </c>
      <c r="C362" s="110">
        <v>0</v>
      </c>
      <c r="D362" s="110">
        <v>0</v>
      </c>
      <c r="E362" s="110">
        <v>0</v>
      </c>
      <c r="F362" s="110">
        <v>0</v>
      </c>
      <c r="G362" s="110">
        <v>0</v>
      </c>
      <c r="H362" s="110">
        <v>0</v>
      </c>
      <c r="I362" s="110">
        <v>0</v>
      </c>
      <c r="J362" s="110">
        <v>0</v>
      </c>
      <c r="K362" s="110">
        <v>0</v>
      </c>
      <c r="L362" s="110">
        <v>0</v>
      </c>
      <c r="M362" s="110">
        <v>0</v>
      </c>
      <c r="N362" s="110">
        <v>0</v>
      </c>
      <c r="O362" s="110">
        <v>0</v>
      </c>
      <c r="P362" s="110">
        <v>0</v>
      </c>
      <c r="Q362" s="110">
        <v>0</v>
      </c>
      <c r="R362" s="110">
        <v>0</v>
      </c>
      <c r="S362" s="110">
        <v>0</v>
      </c>
      <c r="T362" s="110">
        <v>0</v>
      </c>
      <c r="V362" s="209" t="s">
        <v>99</v>
      </c>
      <c r="W362" s="110">
        <v>0</v>
      </c>
      <c r="X362" s="110">
        <f>+[33]EEFF_Vías_Chi!Y362</f>
        <v>0</v>
      </c>
    </row>
    <row r="363" spans="2:24" ht="15">
      <c r="B363" s="181" t="s">
        <v>102</v>
      </c>
      <c r="C363" s="186">
        <v>23934</v>
      </c>
      <c r="D363" s="186">
        <v>23609</v>
      </c>
      <c r="E363" s="186">
        <v>25193</v>
      </c>
      <c r="F363" s="186">
        <v>19454</v>
      </c>
      <c r="G363" s="186">
        <v>20420</v>
      </c>
      <c r="H363" s="186">
        <v>20025</v>
      </c>
      <c r="I363" s="186">
        <v>14821</v>
      </c>
      <c r="J363" s="186">
        <v>12951</v>
      </c>
      <c r="K363" s="186">
        <v>14460</v>
      </c>
      <c r="L363" s="186">
        <v>14168</v>
      </c>
      <c r="M363" s="186">
        <v>15516</v>
      </c>
      <c r="N363" s="186">
        <v>18199</v>
      </c>
      <c r="O363" s="186">
        <v>18514</v>
      </c>
      <c r="P363" s="186">
        <f>SUM(P357:P362)</f>
        <v>14975.944856</v>
      </c>
      <c r="Q363" s="186">
        <f>SUM(Q357:Q362)</f>
        <v>15310.280823000001</v>
      </c>
      <c r="R363" s="186">
        <v>14928.459466</v>
      </c>
      <c r="S363" s="186">
        <v>15660.459466</v>
      </c>
      <c r="T363" s="186">
        <v>16228.185318000002</v>
      </c>
      <c r="V363" s="181" t="s">
        <v>102</v>
      </c>
      <c r="W363" s="661">
        <v>17368.861702999999</v>
      </c>
      <c r="X363" s="661">
        <f>+[33]EEFF_Vías_Chi!Y363</f>
        <v>17625.433959999998</v>
      </c>
    </row>
    <row r="364" spans="2:24" ht="15">
      <c r="B364" s="132" t="s">
        <v>103</v>
      </c>
      <c r="C364" s="185">
        <v>119158</v>
      </c>
      <c r="D364" s="185">
        <v>102433</v>
      </c>
      <c r="E364" s="185">
        <v>100289</v>
      </c>
      <c r="F364" s="185">
        <v>90303</v>
      </c>
      <c r="G364" s="185">
        <v>85196</v>
      </c>
      <c r="H364" s="185">
        <v>88122</v>
      </c>
      <c r="I364" s="185">
        <v>87498</v>
      </c>
      <c r="J364" s="185">
        <v>85713</v>
      </c>
      <c r="K364" s="185">
        <v>77947</v>
      </c>
      <c r="L364" s="185">
        <v>82561</v>
      </c>
      <c r="M364" s="185">
        <v>79266</v>
      </c>
      <c r="N364" s="185">
        <v>80013</v>
      </c>
      <c r="O364" s="185">
        <v>67704</v>
      </c>
      <c r="P364" s="185">
        <f>+P354+P363</f>
        <v>66380.592720000001</v>
      </c>
      <c r="Q364" s="185">
        <f>+Q354+Q363</f>
        <v>62383.802811000009</v>
      </c>
      <c r="R364" s="185">
        <v>56716.459466</v>
      </c>
      <c r="S364" s="185">
        <v>49033.459466</v>
      </c>
      <c r="T364" s="185">
        <v>47994.394245000003</v>
      </c>
      <c r="V364" s="132" t="s">
        <v>103</v>
      </c>
      <c r="W364" s="659">
        <v>47801.741239999996</v>
      </c>
      <c r="X364" s="659">
        <f>+[33]EEFF_Vías_Chi!Y364</f>
        <v>52235.885998999998</v>
      </c>
    </row>
    <row r="365" spans="2:24" ht="15.5">
      <c r="B365" s="143"/>
      <c r="C365" s="213">
        <v>0</v>
      </c>
      <c r="D365" s="213">
        <v>0</v>
      </c>
      <c r="E365" s="213">
        <v>0</v>
      </c>
      <c r="F365" s="213">
        <v>0</v>
      </c>
      <c r="G365" s="213">
        <v>0</v>
      </c>
      <c r="H365" s="213">
        <v>0</v>
      </c>
      <c r="I365" s="213">
        <v>0</v>
      </c>
      <c r="J365" s="213">
        <v>0</v>
      </c>
      <c r="K365" s="213">
        <v>0</v>
      </c>
      <c r="L365" s="213">
        <v>0</v>
      </c>
      <c r="M365" s="213">
        <v>0</v>
      </c>
      <c r="N365" s="213">
        <v>0</v>
      </c>
      <c r="O365" s="213"/>
      <c r="P365" s="213"/>
      <c r="R365" s="213"/>
      <c r="S365" s="213"/>
    </row>
  </sheetData>
  <phoneticPr fontId="204" type="noConversion"/>
  <hyperlinks>
    <hyperlink ref="A1" location="Contenido!A1" display="Volver al Contenido" xr:uid="{7922A70B-1D5B-45D3-9E61-DC8FCD44D65E}"/>
  </hyperlinks>
  <pageMargins left="0.7" right="0.7" top="0.75" bottom="0.75" header="0.3" footer="0.3"/>
  <pageSetup orientation="portrait" r:id="rId1"/>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F2097B40EAC024C9ABADEC86124AD19" ma:contentTypeVersion="2" ma:contentTypeDescription="Crear nuevo documento." ma:contentTypeScope="" ma:versionID="17819afc4a726730e967dece703b9984">
  <xsd:schema xmlns:xsd="http://www.w3.org/2001/XMLSchema" xmlns:xs="http://www.w3.org/2001/XMLSchema" xmlns:p="http://schemas.microsoft.com/office/2006/metadata/properties" xmlns:ns2="5404eb88-a663-4133-8ebe-e567804cd15f" targetNamespace="http://schemas.microsoft.com/office/2006/metadata/properties" ma:root="true" ma:fieldsID="9ac1872baa24e576005c791613947e1e" ns2:_="">
    <xsd:import namespace="5404eb88-a663-4133-8ebe-e567804cd15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04eb88-a663-4133-8ebe-e567804cd1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48093EA-3ACE-4BB9-A61E-AC904FDF2A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04eb88-a663-4133-8ebe-e567804cd1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111C0F-27D4-47F7-8A3B-FE3AAC705B3B}">
  <ds:schemaRefs>
    <ds:schemaRef ds:uri="http://schemas.microsoft.com/sharepoint/v3/contenttype/forms"/>
  </ds:schemaRefs>
</ds:datastoreItem>
</file>

<file path=customXml/itemProps3.xml><?xml version="1.0" encoding="utf-8"?>
<ds:datastoreItem xmlns:ds="http://schemas.openxmlformats.org/officeDocument/2006/customXml" ds:itemID="{B4699902-4F03-4A42-9870-AE91B8BB3760}">
  <ds:schemaRefs>
    <ds:schemaRef ds:uri="5404eb88-a663-4133-8ebe-e567804cd15f"/>
    <ds:schemaRef ds:uri="http://schemas.openxmlformats.org/package/2006/metadata/core-properties"/>
    <ds:schemaRef ds:uri="http://purl.org/dc/dcmitype/"/>
    <ds:schemaRef ds:uri="http://schemas.microsoft.com/office/2006/documentManagement/types"/>
    <ds:schemaRef ds:uri="http://schemas.microsoft.com/office/2006/metadata/properties"/>
    <ds:schemaRef ds:uri="http://www.w3.org/XML/1998/namespace"/>
    <ds:schemaRef ds:uri="http://purl.org/dc/elements/1.1/"/>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Contenido</vt:lpstr>
      <vt:lpstr>EEFF_Consolidados</vt:lpstr>
      <vt:lpstr>EEFF_TE_Col</vt:lpstr>
      <vt:lpstr>EEFF_TE_Bra</vt:lpstr>
      <vt:lpstr>Flujo RBSE</vt:lpstr>
      <vt:lpstr>EEFF_TE_Per</vt:lpstr>
      <vt:lpstr>EEFF_TE_Chi</vt:lpstr>
      <vt:lpstr>EEFF_Vías_Col</vt:lpstr>
      <vt:lpstr>EEFF_Vías_Chi</vt:lpstr>
      <vt:lpstr>Deuda consolidada créditos</vt:lpstr>
      <vt:lpstr>Deuda consolidada bonos</vt:lpstr>
      <vt:lpstr>Perfil deuda</vt:lpstr>
      <vt:lpstr>CAPEX</vt:lpstr>
      <vt:lpstr>Regulación TE</vt:lpstr>
      <vt:lpstr>Regulación vías</vt:lpstr>
      <vt:lpstr>Tráfico vías</vt:lpstr>
      <vt:lpstr>Dividendos</vt:lpstr>
      <vt:lpstr>Proyectos</vt:lpstr>
      <vt:lpstr>Vencimiento Concesiones</vt:lpstr>
      <vt:lpstr>Participación en compañías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DIANA MARÍA CARDONA LONDOÑO</cp:lastModifiedBy>
  <cp:revision/>
  <dcterms:created xsi:type="dcterms:W3CDTF">2020-09-01T20:14:00Z</dcterms:created>
  <dcterms:modified xsi:type="dcterms:W3CDTF">2022-08-02T21:36:39Z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0x0101008F2097B40EAC024C9ABADEC86124AD19</vt:lpwstr>
  </property>
</Properties>
</file>